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САЙТ\Плановый\Итоги БКД\"/>
    </mc:Choice>
  </mc:AlternateContent>
  <bookViews>
    <workbookView xWindow="0" yWindow="0" windowWidth="28800" windowHeight="12345" activeTab="1"/>
  </bookViews>
  <sheets>
    <sheet name="2019 г" sheetId="2" r:id="rId1"/>
    <sheet name="2020 г" sheetId="1" r:id="rId2"/>
  </sheets>
  <definedNames>
    <definedName name="_xlnm._FilterDatabase" localSheetId="1" hidden="1">'2020 г'!$A$2:$A$125</definedName>
    <definedName name="Z_377BEED0_68B2_44B0_B64D_7D71986E1443_.wvu.FilterData" localSheetId="1" hidden="1">'2020 г'!$A$2:$A$125</definedName>
    <definedName name="Z_5C84215F_13D7_4ECA_9E25_0D2F108580A7_.wvu.Cols" localSheetId="1" hidden="1">'2020 г'!$C:$D,'2020 г'!$N:$N,'2020 г'!#REF!</definedName>
    <definedName name="Z_5C84215F_13D7_4ECA_9E25_0D2F108580A7_.wvu.FilterData" localSheetId="1" hidden="1">'2020 г'!$A$2:$A$125</definedName>
    <definedName name="Z_5C84215F_13D7_4ECA_9E25_0D2F108580A7_.wvu.PrintArea" localSheetId="1" hidden="1">'2020 г'!$A$1:$P$130</definedName>
    <definedName name="Z_5C84215F_13D7_4ECA_9E25_0D2F108580A7_.wvu.PrintTitles" localSheetId="1" hidden="1">'2020 г'!$2:$3</definedName>
    <definedName name="Z_5C84215F_13D7_4ECA_9E25_0D2F108580A7_.wvu.Rows" localSheetId="1" hidden="1">'2020 г'!$62:$129</definedName>
    <definedName name="Z_B9B795A5_02BC_4805_9EC8_B7FD816197AF_.wvu.Cols" localSheetId="1" hidden="1">'2020 г'!$C:$D,'2020 г'!$N:$N,'2020 г'!#REF!</definedName>
    <definedName name="Z_B9B795A5_02BC_4805_9EC8_B7FD816197AF_.wvu.FilterData" localSheetId="1" hidden="1">'2020 г'!$A$2:$A$125</definedName>
    <definedName name="Z_B9B795A5_02BC_4805_9EC8_B7FD816197AF_.wvu.PrintArea" localSheetId="1" hidden="1">'2020 г'!$A$1:$P$130</definedName>
    <definedName name="Z_B9B795A5_02BC_4805_9EC8_B7FD816197AF_.wvu.PrintTitles" localSheetId="1" hidden="1">'2020 г'!$2:$3</definedName>
    <definedName name="Z_B9B795A5_02BC_4805_9EC8_B7FD816197AF_.wvu.Rows" localSheetId="1" hidden="1">'2020 г'!$62:$129</definedName>
    <definedName name="_xlnm.Print_Titles" localSheetId="1">'2020 г'!$2:$3</definedName>
    <definedName name="_xlnm.Print_Area" localSheetId="1">'2020 г'!$A$1:$P$130</definedName>
  </definedNames>
  <calcPr calcId="162913"/>
  <customWorkbookViews>
    <customWorkbookView name="Пушкарская Екатерина Юрьевна - Личное представление" guid="{5C84215F-13D7-4ECA-9E25-0D2F108580A7}" mergeInterval="0" personalView="1" maximized="1" windowWidth="1916" windowHeight="855" activeSheetId="1"/>
    <customWorkbookView name="Громенко Елена Николаевна - Личное представление" guid="{B9B795A5-02BC-4805-9EC8-B7FD816197AF}" mergeInterval="0" personalView="1" maximized="1" windowWidth="1916" windowHeight="849" activeSheetId="1"/>
  </customWorkbookViews>
</workbook>
</file>

<file path=xl/calcChain.xml><?xml version="1.0" encoding="utf-8"?>
<calcChain xmlns="http://schemas.openxmlformats.org/spreadsheetml/2006/main">
  <c r="L61" i="1" l="1"/>
  <c r="AB81" i="2" l="1"/>
  <c r="AA81" i="2"/>
  <c r="X81" i="2"/>
  <c r="P81" i="2"/>
  <c r="N81" i="2"/>
  <c r="L81" i="2"/>
  <c r="H81" i="2"/>
  <c r="G81" i="2"/>
  <c r="Y80" i="2"/>
  <c r="U80" i="2"/>
  <c r="Y79" i="2"/>
  <c r="U79" i="2"/>
  <c r="O79" i="2"/>
  <c r="Y78" i="2"/>
  <c r="U78" i="2"/>
  <c r="Y77" i="2"/>
  <c r="U77" i="2"/>
  <c r="O77" i="2"/>
  <c r="Y76" i="2"/>
  <c r="U76" i="2"/>
  <c r="Y75" i="2"/>
  <c r="U75" i="2"/>
  <c r="O75" i="2"/>
  <c r="Y74" i="2"/>
  <c r="U74" i="2"/>
  <c r="Y73" i="2"/>
  <c r="U73" i="2"/>
  <c r="R73" i="2"/>
  <c r="S73" i="2" s="1"/>
  <c r="Y72" i="2"/>
  <c r="V72" i="2"/>
  <c r="U72" i="2" s="1"/>
  <c r="R72" i="2"/>
  <c r="S72" i="2" s="1"/>
  <c r="Y71" i="2"/>
  <c r="Y70" i="2"/>
  <c r="U70" i="2"/>
  <c r="Y69" i="2"/>
  <c r="U69" i="2"/>
  <c r="Y68" i="2"/>
  <c r="U68" i="2"/>
  <c r="Y67" i="2"/>
  <c r="U67" i="2"/>
  <c r="O67" i="2"/>
  <c r="Y66" i="2"/>
  <c r="U66" i="2"/>
  <c r="U65" i="2"/>
  <c r="Y64" i="2"/>
  <c r="U64" i="2"/>
  <c r="Y63" i="2"/>
  <c r="U63" i="2"/>
  <c r="R63" i="2"/>
  <c r="Y62" i="2"/>
  <c r="U62" i="2"/>
  <c r="O62" i="2"/>
  <c r="Y61" i="2"/>
  <c r="U61" i="2"/>
  <c r="Y60" i="2"/>
  <c r="U60" i="2"/>
  <c r="O60" i="2"/>
  <c r="U59" i="2"/>
  <c r="Y58" i="2"/>
  <c r="U58" i="2"/>
  <c r="Y57" i="2"/>
  <c r="U57" i="2"/>
  <c r="U56" i="2"/>
  <c r="Y55" i="2"/>
  <c r="U55" i="2"/>
  <c r="O55" i="2"/>
  <c r="Y54" i="2"/>
  <c r="U54" i="2"/>
  <c r="R54" i="2"/>
  <c r="Y53" i="2"/>
  <c r="U53" i="2"/>
  <c r="R53" i="2"/>
  <c r="Y52" i="2"/>
  <c r="U52" i="2"/>
  <c r="R52" i="2"/>
  <c r="K52" i="2"/>
  <c r="Y51" i="2"/>
  <c r="U51" i="2"/>
  <c r="Y50" i="2"/>
  <c r="U50" i="2"/>
  <c r="Y49" i="2"/>
  <c r="U49" i="2"/>
  <c r="R49" i="2"/>
  <c r="Q49" i="2"/>
  <c r="Q81" i="2" s="1"/>
  <c r="Y48" i="2"/>
  <c r="U48" i="2"/>
  <c r="R48" i="2"/>
  <c r="Y47" i="2"/>
  <c r="U47" i="2"/>
  <c r="Y46" i="2"/>
  <c r="U46" i="2"/>
  <c r="Y45" i="2"/>
  <c r="U45" i="2"/>
  <c r="Y44" i="2"/>
  <c r="U44" i="2"/>
  <c r="Y43" i="2"/>
  <c r="U43" i="2"/>
  <c r="O43" i="2"/>
  <c r="Y42" i="2"/>
  <c r="U42" i="2"/>
  <c r="Y41" i="2"/>
  <c r="U41" i="2"/>
  <c r="Y40" i="2"/>
  <c r="U40" i="2"/>
  <c r="R40" i="2"/>
  <c r="O40" i="2"/>
  <c r="Y39" i="2"/>
  <c r="U39" i="2"/>
  <c r="O39" i="2"/>
  <c r="Y38" i="2"/>
  <c r="U38" i="2"/>
  <c r="U37" i="2"/>
  <c r="K37" i="2"/>
  <c r="O37" i="2" s="1"/>
  <c r="Y36" i="2"/>
  <c r="U36" i="2"/>
  <c r="K36" i="2"/>
  <c r="K81" i="2" s="1"/>
  <c r="Y35" i="2"/>
  <c r="U35" i="2"/>
  <c r="O35" i="2"/>
  <c r="Y34" i="2"/>
  <c r="U34" i="2"/>
  <c r="R34" i="2"/>
  <c r="Y33" i="2"/>
  <c r="U33" i="2"/>
  <c r="O33" i="2"/>
  <c r="Y32" i="2"/>
  <c r="U32" i="2"/>
  <c r="Y31" i="2"/>
  <c r="U31" i="2"/>
  <c r="O31" i="2"/>
  <c r="Y30" i="2"/>
  <c r="U30" i="2"/>
  <c r="R30" i="2"/>
  <c r="Y29" i="2"/>
  <c r="U29" i="2"/>
  <c r="R29" i="2"/>
  <c r="Y28" i="2"/>
  <c r="U28" i="2"/>
  <c r="R28" i="2"/>
  <c r="Y27" i="2"/>
  <c r="U27" i="2"/>
  <c r="Y26" i="2"/>
  <c r="U26" i="2"/>
  <c r="Y25" i="2"/>
  <c r="U25" i="2"/>
  <c r="R25" i="2"/>
  <c r="Y24" i="2"/>
  <c r="U24" i="2"/>
  <c r="Y23" i="2"/>
  <c r="U23" i="2"/>
  <c r="Y22" i="2"/>
  <c r="W22" i="2"/>
  <c r="U22" i="2" s="1"/>
  <c r="W21" i="2"/>
  <c r="U21" i="2" s="1"/>
  <c r="Z21" i="2" s="1"/>
  <c r="Y21" i="2" s="1"/>
  <c r="R21" i="2"/>
  <c r="Y20" i="2"/>
  <c r="U20" i="2"/>
  <c r="R20" i="2"/>
  <c r="W19" i="2"/>
  <c r="U19" i="2" s="1"/>
  <c r="Z19" i="2" s="1"/>
  <c r="Y19" i="2" s="1"/>
  <c r="R19" i="2"/>
  <c r="U18" i="2"/>
  <c r="Z18" i="2" s="1"/>
  <c r="Y18" i="2" s="1"/>
  <c r="R18" i="2"/>
  <c r="U17" i="2"/>
  <c r="Z17" i="2" s="1"/>
  <c r="Y17" i="2" s="1"/>
  <c r="S17" i="2"/>
  <c r="O17" i="2"/>
  <c r="U16" i="2"/>
  <c r="Z16" i="2" s="1"/>
  <c r="Y15" i="2"/>
  <c r="W15" i="2"/>
  <c r="U15" i="2"/>
  <c r="Y14" i="2"/>
  <c r="U14" i="2"/>
  <c r="S14" i="2"/>
  <c r="O14" i="2"/>
  <c r="Y13" i="2"/>
  <c r="U13" i="2"/>
  <c r="Y12" i="2"/>
  <c r="U12" i="2"/>
  <c r="R12" i="2"/>
  <c r="Y11" i="2"/>
  <c r="U11" i="2"/>
  <c r="R11" i="2"/>
  <c r="Y10" i="2"/>
  <c r="R10" i="2"/>
  <c r="M10" i="2"/>
  <c r="M81" i="2" s="1"/>
  <c r="Y9" i="2"/>
  <c r="U9" i="2"/>
  <c r="S9" i="2"/>
  <c r="U81" i="2" l="1"/>
  <c r="O36" i="2"/>
  <c r="O81" i="2" s="1"/>
  <c r="W81" i="2"/>
  <c r="R81" i="2"/>
  <c r="Y16" i="2"/>
  <c r="Z81" i="2"/>
  <c r="Y81" i="2" s="1"/>
  <c r="V81" i="2"/>
  <c r="J54" i="1" l="1"/>
  <c r="J42" i="1" l="1"/>
  <c r="P51" i="1" l="1"/>
  <c r="N51" i="1"/>
  <c r="O45" i="1"/>
  <c r="O44" i="1"/>
  <c r="L44" i="1"/>
  <c r="L45" i="1"/>
  <c r="M43" i="1" l="1"/>
  <c r="O42" i="1"/>
  <c r="N32" i="1"/>
  <c r="N31" i="1"/>
  <c r="N30" i="1"/>
  <c r="N29" i="1"/>
  <c r="O29" i="1" s="1"/>
  <c r="N28" i="1"/>
  <c r="N27" i="1"/>
  <c r="N13" i="1"/>
  <c r="N5" i="1"/>
  <c r="N7" i="1"/>
  <c r="N46" i="1" l="1"/>
  <c r="L29" i="1" l="1"/>
  <c r="H29" i="1"/>
  <c r="H30" i="1"/>
  <c r="N6" i="1" l="1"/>
  <c r="N10" i="1" l="1"/>
  <c r="N58" i="1"/>
  <c r="L58" i="1" s="1"/>
  <c r="N53" i="1"/>
  <c r="N20" i="1"/>
  <c r="O7" i="1"/>
  <c r="O6" i="1"/>
  <c r="R6" i="1" l="1"/>
  <c r="R7" i="1"/>
  <c r="O58" i="1"/>
  <c r="H58" i="1"/>
  <c r="F59" i="1" l="1"/>
  <c r="E59" i="1"/>
  <c r="H42" i="1" l="1"/>
  <c r="H54" i="1"/>
  <c r="K10" i="1"/>
  <c r="J10" i="1"/>
  <c r="J59" i="1" s="1"/>
  <c r="F130" i="1" l="1"/>
  <c r="E130" i="1"/>
  <c r="I10" i="1"/>
  <c r="I59" i="1" l="1"/>
  <c r="N47" i="1" l="1"/>
  <c r="N26" i="1"/>
  <c r="N21" i="1"/>
  <c r="N17" i="1"/>
  <c r="O49" i="1"/>
  <c r="O50" i="1"/>
  <c r="O51" i="1"/>
  <c r="O52" i="1"/>
  <c r="O53" i="1"/>
  <c r="O54" i="1"/>
  <c r="O55" i="1"/>
  <c r="O56" i="1"/>
  <c r="L49" i="1"/>
  <c r="L50" i="1"/>
  <c r="L51" i="1"/>
  <c r="L52" i="1"/>
  <c r="L53" i="1"/>
  <c r="L54" i="1"/>
  <c r="L55" i="1"/>
  <c r="L56" i="1"/>
  <c r="K32" i="1" l="1"/>
  <c r="H32" i="1" s="1"/>
  <c r="K27" i="1"/>
  <c r="K59" i="1" s="1"/>
  <c r="H37" i="1"/>
  <c r="H31" i="1"/>
  <c r="H26" i="1"/>
  <c r="H20" i="1"/>
  <c r="H19" i="1"/>
  <c r="H18" i="1"/>
  <c r="H8" i="1"/>
  <c r="H27" i="1" l="1"/>
  <c r="H59" i="1"/>
  <c r="P41" i="1"/>
  <c r="N41" i="1"/>
  <c r="P38" i="1"/>
  <c r="N38" i="1"/>
  <c r="N36" i="1"/>
  <c r="M36" i="1"/>
  <c r="N35" i="1"/>
  <c r="N33" i="1"/>
  <c r="M32" i="1"/>
  <c r="N25" i="1"/>
  <c r="N19" i="1"/>
  <c r="N16" i="1"/>
  <c r="P14" i="1"/>
  <c r="N14" i="1"/>
  <c r="N11" i="1"/>
  <c r="M10" i="1"/>
  <c r="N9" i="1"/>
  <c r="N8" i="1"/>
  <c r="M59" i="1" l="1"/>
  <c r="P59" i="1"/>
  <c r="O48" i="1"/>
  <c r="O47" i="1"/>
  <c r="O43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N126" i="1"/>
  <c r="M126" i="1"/>
  <c r="N121" i="1"/>
  <c r="M121" i="1"/>
  <c r="N117" i="1"/>
  <c r="M117" i="1"/>
  <c r="N114" i="1"/>
  <c r="M114" i="1"/>
  <c r="N105" i="1"/>
  <c r="M105" i="1"/>
  <c r="R8" i="1" l="1"/>
  <c r="L48" i="1"/>
  <c r="L47" i="1"/>
  <c r="L46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126" i="1" l="1"/>
  <c r="I126" i="1"/>
  <c r="H123" i="1"/>
  <c r="H126" i="1" s="1"/>
  <c r="J121" i="1"/>
  <c r="I121" i="1"/>
  <c r="H119" i="1"/>
  <c r="H121" i="1" s="1"/>
  <c r="J117" i="1"/>
  <c r="I117" i="1"/>
  <c r="H116" i="1"/>
  <c r="H117" i="1" s="1"/>
  <c r="J114" i="1"/>
  <c r="I114" i="1"/>
  <c r="H113" i="1"/>
  <c r="H112" i="1"/>
  <c r="H111" i="1"/>
  <c r="H110" i="1"/>
  <c r="H109" i="1"/>
  <c r="H108" i="1"/>
  <c r="H107" i="1"/>
  <c r="J105" i="1"/>
  <c r="I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1" i="1"/>
  <c r="H70" i="1"/>
  <c r="H69" i="1"/>
  <c r="H68" i="1"/>
  <c r="H66" i="1"/>
  <c r="H65" i="1"/>
  <c r="H64" i="1"/>
  <c r="H63" i="1"/>
  <c r="J127" i="1" l="1"/>
  <c r="H105" i="1"/>
  <c r="H114" i="1"/>
  <c r="I127" i="1"/>
  <c r="F105" i="1"/>
  <c r="L119" i="1"/>
  <c r="L71" i="1" l="1"/>
  <c r="L101" i="1"/>
  <c r="L102" i="1"/>
  <c r="L103" i="1"/>
  <c r="L104" i="1"/>
  <c r="L100" i="1" l="1"/>
  <c r="L123" i="1"/>
  <c r="L121" i="1" l="1"/>
  <c r="L116" i="1"/>
  <c r="L117" i="1" s="1"/>
  <c r="L113" i="1"/>
  <c r="L112" i="1"/>
  <c r="L111" i="1"/>
  <c r="L110" i="1"/>
  <c r="L109" i="1"/>
  <c r="L108" i="1"/>
  <c r="L107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75" i="1"/>
  <c r="L64" i="1"/>
  <c r="L65" i="1"/>
  <c r="L66" i="1"/>
  <c r="L68" i="1"/>
  <c r="L69" i="1"/>
  <c r="L70" i="1"/>
  <c r="L63" i="1"/>
  <c r="L126" i="1"/>
  <c r="F126" i="1"/>
  <c r="E126" i="1"/>
  <c r="F121" i="1"/>
  <c r="E121" i="1"/>
  <c r="F117" i="1"/>
  <c r="E117" i="1"/>
  <c r="E105" i="1"/>
  <c r="F114" i="1"/>
  <c r="E114" i="1"/>
  <c r="E127" i="1" l="1"/>
  <c r="L105" i="1"/>
  <c r="F127" i="1"/>
  <c r="L114" i="1"/>
  <c r="H127" i="1" l="1"/>
  <c r="M127" i="1" l="1"/>
  <c r="L5" i="1"/>
  <c r="N59" i="1"/>
  <c r="O5" i="1"/>
  <c r="R5" i="1" s="1"/>
  <c r="O59" i="1" l="1"/>
  <c r="L59" i="1"/>
  <c r="L127" i="1" s="1"/>
  <c r="N127" i="1"/>
</calcChain>
</file>

<file path=xl/comments1.xml><?xml version="1.0" encoding="utf-8"?>
<comments xmlns="http://schemas.openxmlformats.org/spreadsheetml/2006/main">
  <authors>
    <author>Автор</author>
  </authors>
  <commentLis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общий</t>
        </r>
      </text>
    </comment>
  </commentList>
</comments>
</file>

<file path=xl/sharedStrings.xml><?xml version="1.0" encoding="utf-8"?>
<sst xmlns="http://schemas.openxmlformats.org/spreadsheetml/2006/main" count="930" uniqueCount="430">
  <si>
    <t>№</t>
  </si>
  <si>
    <t>Ремонт ул. Краузе</t>
  </si>
  <si>
    <t>Ремонт ул. Софийская</t>
  </si>
  <si>
    <t>Ремонт ул. Добролюбова</t>
  </si>
  <si>
    <t>Ремонт ул. Октябрьская</t>
  </si>
  <si>
    <t>Ремонт ул. Ленина</t>
  </si>
  <si>
    <t>Ремонт ул. Громова</t>
  </si>
  <si>
    <t>Ремонт ул. Толмачевская</t>
  </si>
  <si>
    <t>Ремонт ул. Аксенова</t>
  </si>
  <si>
    <t>Ремонт ул. Кутателадзе</t>
  </si>
  <si>
    <t>Ремонт ул. Романова</t>
  </si>
  <si>
    <t>Ремонт ул. Каменская</t>
  </si>
  <si>
    <t>Ремонт ул. Горбаня</t>
  </si>
  <si>
    <t>Ремонт ул. Троллейная</t>
  </si>
  <si>
    <t>Ремонт ул. Тихвинская</t>
  </si>
  <si>
    <t>Ремонт ул. Новоуральская</t>
  </si>
  <si>
    <t>Ремонт ул. Российская</t>
  </si>
  <si>
    <t>Ремонт ул. Ключ-Камышенское Плато</t>
  </si>
  <si>
    <t>Ремонт ул. Каменское шоссе</t>
  </si>
  <si>
    <t>Ремонт ул. Чекалина</t>
  </si>
  <si>
    <t>Ремонт ул. Автогенная</t>
  </si>
  <si>
    <t>Ремонт ул. Ласточкина</t>
  </si>
  <si>
    <t>Ремонт ул. Федосеева</t>
  </si>
  <si>
    <t>Ремонт ул. Гоголя 
от ул. Мичурина до ул. Ипподромская</t>
  </si>
  <si>
    <t>Ремонт ул. Фрунзе</t>
  </si>
  <si>
    <t xml:space="preserve">Ремонт ул. Бердское шоссе 
от Матвеевки до проспекта Строителей  </t>
  </si>
  <si>
    <t>Ремонт ул.Жуковского  (с ликвидацией  места концентрации ДТП: перекресток ул. Жуковского и ул. Дмитрия Донского)</t>
  </si>
  <si>
    <t>Капитальный ремонт ул. Фабричная 
(с ликвидацией места концентрации ДТП: перекресток ул. Фабричная и ул. Спартака)</t>
  </si>
  <si>
    <t>Капитальный ремонт ул. Большевистская   (участок от дома № 48 до ул. Выборная )</t>
  </si>
  <si>
    <t>Ликвидация места концентрации ДТП 
ул. Большевистская - ул. Днепрогэсовская</t>
  </si>
  <si>
    <t>Ликвидация места концентрации ДТП 
ул. Большевистская, 229</t>
  </si>
  <si>
    <t>Капитальный ремонт ул. Красный проспект 
от ул. М. Горького до ул. Колыванская</t>
  </si>
  <si>
    <t>Ликвидация места концентрации ДТП ул. Красный проспект – ул. Советская</t>
  </si>
  <si>
    <t>Ликвидация места концентрации ДТП 
по ул. Красный проспект, д. 14 (1а)</t>
  </si>
  <si>
    <t>Ликвидация места концентрации ДТП ул. Красный проспект – ул. М. Горького</t>
  </si>
  <si>
    <t>Реконструкция ул. Гусинобродское шоссе 
от ул. Волочаевская до городской черты), I этап реконструкции – участок от ул. Коминтерна 
до здания по адресу: ул. Дегтярева, 23</t>
  </si>
  <si>
    <t>Реконструкция ул. 2-ая Станционная 
от дома  №29 до ул. Большая и ул. Большая 
от ул. 2-я Станционная до Колыванского кольца, 
I этап – участок от ул. Большая, 367/1 
до ул. Большая ул.582/1</t>
  </si>
  <si>
    <t>Капитальный ремонт ул. Лунная</t>
  </si>
  <si>
    <t>Ремонт ул. Таёжная</t>
  </si>
  <si>
    <t>Ремонт ул. Энгельса</t>
  </si>
  <si>
    <t>Ремонт ул. Тимирязева</t>
  </si>
  <si>
    <t>Ремонт ул. Дзержинского</t>
  </si>
  <si>
    <t>Ремонт ул. Пирогова</t>
  </si>
  <si>
    <t>Ремонт ул. Морская</t>
  </si>
  <si>
    <t>Ремонт автомобильной дороги пр.Юбилейный (от кольцевого пересечения с ул. Юбилейная до ул. Украинская)</t>
  </si>
  <si>
    <t>Капитальный ремонт ул.Геодезическая</t>
  </si>
  <si>
    <t>Капитальный ремонт ул.Большая</t>
  </si>
  <si>
    <t>Капитальный ремонт Автомобильной дороги №3</t>
  </si>
  <si>
    <t>Капитальный ремонт Автомобильной дороги №4</t>
  </si>
  <si>
    <t>Капитальный ремонт Автомобильной дороги №6</t>
  </si>
  <si>
    <t>26.08.2019</t>
  </si>
  <si>
    <t>27.08.2019</t>
  </si>
  <si>
    <t>28.08.2019</t>
  </si>
  <si>
    <t>29.08.2019</t>
  </si>
  <si>
    <t>30.08.2019</t>
  </si>
  <si>
    <t>01.08.2019</t>
  </si>
  <si>
    <t>22.08.2019</t>
  </si>
  <si>
    <t>03.09.2019</t>
  </si>
  <si>
    <t>25.10.2019</t>
  </si>
  <si>
    <t>18.10.2019</t>
  </si>
  <si>
    <t>10.10.2019</t>
  </si>
  <si>
    <t>02.09.2019</t>
  </si>
  <si>
    <t>08.10.2019</t>
  </si>
  <si>
    <t>30.09.2019</t>
  </si>
  <si>
    <t>федеральный бюджет</t>
  </si>
  <si>
    <t>Наименование объекта</t>
  </si>
  <si>
    <t>переходящий</t>
  </si>
  <si>
    <t>-</t>
  </si>
  <si>
    <t>Реконструкция автомобильной дороги общего пользования по ул. Кедровая в Заельцовском, Калининском районах (участок от Мочищенского шоссе до городской черты), II этап – участок дороги от дома по адресу  ул. Лобачевского, 9 до городской черты</t>
  </si>
  <si>
    <t>г. Новосибирск</t>
  </si>
  <si>
    <t>Автомобильные дороги регионального и межмуниципального значения Новосибирской области</t>
  </si>
  <si>
    <t>г. Бердск</t>
  </si>
  <si>
    <t>04.10.2019</t>
  </si>
  <si>
    <t>г. Искитим</t>
  </si>
  <si>
    <t>г. Обь</t>
  </si>
  <si>
    <t>р.п. Кольцово</t>
  </si>
  <si>
    <t>Планируемая дата завершения работ</t>
  </si>
  <si>
    <t>Мощность объекта (план), км</t>
  </si>
  <si>
    <t>Мощность объекта (факт), км</t>
  </si>
  <si>
    <t>переходящие</t>
  </si>
  <si>
    <t>ИТОГО:</t>
  </si>
  <si>
    <t>ВСЕГО:</t>
  </si>
  <si>
    <t>Реконструкция площади Лыщинского с участками автомобильных дорог, примыкающих к площади
(ул. Немировича-Данченко, проспект Карла Маркса, 
ул. Блюхера, ул. Горская) для обеспечения транспортной доступности к "Многофункциональной ледовой арене" 
в Кировском, Ленинском районах</t>
  </si>
  <si>
    <t>15.11.2019/16.12.2019</t>
  </si>
  <si>
    <t>Пешеходный переход через дамбу Октябрьского моста для обеспечения транспортной доступности к "Многофункциональной ледовой арене" в Кировском, Ленинском районах</t>
  </si>
  <si>
    <t>31.12.2021</t>
  </si>
  <si>
    <t>Реконструкция автомобильной дороги по дамбе Октябрьского моста и автомобильной дороги от площади Лыщинского до пляжа "Наутилус" для обеспечения транспортной доступности к "Многофункциональной ледовой арене" в Кировском, Ленинском районах</t>
  </si>
  <si>
    <t>31.12.2019</t>
  </si>
  <si>
    <t>Строительство автомобильной дороги от пляжа "Наутилус" вдоль территории "Многофункциональной ледовой арены" с заездом на дамбу Октябрьского моста в Кировском и Ленинском районах г.Новосибирска</t>
  </si>
  <si>
    <t>Строительство автомобильной дороги от ул. Немировича-Данченко до территории "Многофункциональной ледовой арены" в Кировском районе г.Новосибирска</t>
  </si>
  <si>
    <t>01.12.2019</t>
  </si>
  <si>
    <t>24.12.2019</t>
  </si>
  <si>
    <t>25.10.2021</t>
  </si>
  <si>
    <t>Всего</t>
  </si>
  <si>
    <t>Капитальный ремонт  а/д "Кыштовка-Малокрасноярка" в Кыштовском районе Новосибирской области</t>
  </si>
  <si>
    <t>Капитальный ремонт  а/д "Новосибирск-Красный Яр" в Новосибирском районе Новосибирской области</t>
  </si>
  <si>
    <t>Ремонт 103 км а/д "К-17р" - Петровский - Большеникольское -Чулым (в гр. района)</t>
  </si>
  <si>
    <t>НСО, Капитальный ремонт моста ч/р Каргат на 27,285 км а/д "Здвинск-Довольное-17 км а/д "К-09"  в Здвинском районе</t>
  </si>
  <si>
    <t>НСО, Реконструкция а/д "Венгерово - Минино - Верх-Красноярка - Северное (в гр. района)" в Венгеровском районе</t>
  </si>
  <si>
    <t>НСО, Реконструкция автомобильной дороги  "Инская - Барышево - 39 км а/д "К-19р" (в гр. района)" на участке км 26+000 - км 30+739 в Новосибирском и Тогучинском районах</t>
  </si>
  <si>
    <t>НСО, Ремонт а/д "66 км а/д "Н-1408"- Ушково - Михайловка"  в Куйбышевском районе</t>
  </si>
  <si>
    <t>НСО, Строительство моста через р. Карасук на 5 км автодороги "Майское-Чернаки" в Краснозерском районе</t>
  </si>
  <si>
    <t>Реконструкция автомобильной дороги "992 км а/д "М-51" - Купино - Карасук" в Татарском районе Новосибирской области</t>
  </si>
  <si>
    <t>Ремонт а/д "10 км а/д "Н-0904" - Мусы" в Каргатском  районе Новосибирской области</t>
  </si>
  <si>
    <t>Ремонт а/д "105 км а/д "М-52"-Сузун" в Сузунском районе Новосибирской области</t>
  </si>
  <si>
    <t>Ремонт а/д "12 км а/д "К-12" -  Криводановка" в Новосибирском районе Новосибирской области</t>
  </si>
  <si>
    <t>Ремонт а/д "1234 км а/д "М-51" - Крещенское" в Убинском районе Новосибирской области</t>
  </si>
  <si>
    <t>Ремонт а/д "13 км а/д "К-14" - Карагужево" в Черепановском районе Новосибирской области</t>
  </si>
  <si>
    <t>Ремонт а/д "130 км а/д "М-53" - Тогучин - Карпысак" в Болотнинском районе Новосибирской области</t>
  </si>
  <si>
    <t>Ремонт а/д "20 км а/д «Н-0104» - Абакумово" в Барабинском районе  Новосибирской области</t>
  </si>
  <si>
    <t>Ремонт а/д "27км а/д "К-07" - Верх-Каргат - Берёзовка - Новощербаки" в Здвинском районе Новосибирской области</t>
  </si>
  <si>
    <t>Ремонт а/д "358 км а/д "К-17р - Кучугур" в Карасукском районе Новосибирской области</t>
  </si>
  <si>
    <t>Ремонт а/д "60 км а/д "М-53" - Мошково - Белоярка" в Мошковском районе Новосибирской области</t>
  </si>
  <si>
    <t>Ремонт а/д "992 км а/д "М-51" - Купино - Карасук"  в Купинском районе Новосибирской области</t>
  </si>
  <si>
    <t>Ремонт а/д "992 км а/д "М-51"-Купино-Карасук" в Татарском районе Новосибирской области</t>
  </si>
  <si>
    <t>Ремонт а/д "Баган - Палецкое - Кучугур (в гр. района)" в Баганском районе Новосибирской области</t>
  </si>
  <si>
    <t>Ремонт а/д "Здвинск - Довольное - 17 км а/д "К-09"" в Доволенском районе Новосибирской области</t>
  </si>
  <si>
    <t>Ремонт а/д "Новосибирск -  Кочки - Павлодар (в пред. РФ)" в Новосибирском районе  Новосибирской области</t>
  </si>
  <si>
    <t>Ремонт а/д "Новосибирск - Колывань -Томск (в границах НСО)" в Колыванском районе Новосибирской области</t>
  </si>
  <si>
    <t>Ремонт а/д "Новосибирск - Ленинск-Кузнецкий (в границах НСО)" в Тогучинском районе Новосибирской области</t>
  </si>
  <si>
    <t>Ремонт а/д "Новосибирск - Сокур (в гр. района)" в Мошковском районе Новосибирской области</t>
  </si>
  <si>
    <t>Ремонт а/д "Новосибирск-Кочки-Павлодар (в пред. РФ)" в Кочковском районе Новосибирской области</t>
  </si>
  <si>
    <t>Ремонт а/д "Подъезд к г. Чулыму"    в Чулымском районе Новосибирской области</t>
  </si>
  <si>
    <t>Ремонт а/д "Сокур - Смоленский - Орск" в Мошковском районе Новосибирской области</t>
  </si>
  <si>
    <t>Ремонт а/д "Чаны-Венгерово-Кыштовка" в Кыштовском районе Новосибирской области</t>
  </si>
  <si>
    <t>Строительство автомобильной дороги "М-51"-Коченево" в Коченевском районе Новосибирской области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</si>
  <si>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 (III этап)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</si>
  <si>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 (II этап)</t>
  </si>
  <si>
    <t>Реконструкция автомобильной дороги "Новосибирск-Ленинск-Кузнецкий" на участке км 12- км 24 в Новосибирском районе Новосибирской области</t>
  </si>
  <si>
    <t xml:space="preserve">Ремонт а/д "52 км а/д "К-02" - Филошенка" в Венгеровском районе Новосибирской области     </t>
  </si>
  <si>
    <t>Ремонт а/д "Новосибирск-Кочки-Павлодар (в пред. РФ)" в Красноозерском  районе</t>
  </si>
  <si>
    <t xml:space="preserve">Реконструкция автомобильной дороги "99 км а/д "К-02" - Павлово" на участке км 10+500 - км 23+049 в Венгеровском районе Новосибирской области  </t>
  </si>
  <si>
    <t>45,8 п.м.</t>
  </si>
  <si>
    <t>68,2 п.м.</t>
  </si>
  <si>
    <t>13.08.2020</t>
  </si>
  <si>
    <t>31.07.2020</t>
  </si>
  <si>
    <t>07.07.2020</t>
  </si>
  <si>
    <t>26.08.2020</t>
  </si>
  <si>
    <t>24.09.2020</t>
  </si>
  <si>
    <t>24.08.2020</t>
  </si>
  <si>
    <t>31.08.2020</t>
  </si>
  <si>
    <t>17.07.2020</t>
  </si>
  <si>
    <t>включен без финансовой составляющей, так как является "справочным" объектом, реализуемым не в рамках бюджета БКАД</t>
  </si>
  <si>
    <t>областной бюджет R (БКАД)</t>
  </si>
  <si>
    <t>областной бюджет (госпрограмма)</t>
  </si>
  <si>
    <t>Подрядная организация</t>
  </si>
  <si>
    <t>ООО "Новосибирск-агропромдорстрой"</t>
  </si>
  <si>
    <t>ООО "Дороги Сибири"</t>
  </si>
  <si>
    <t>АО "Новосибирскавтодор"</t>
  </si>
  <si>
    <t>ООО "Дорсиб плюс"</t>
  </si>
  <si>
    <t>ООО "Бастион"</t>
  </si>
  <si>
    <t>ООО "Строители Дорог Сибири"</t>
  </si>
  <si>
    <t>ООО "Мостострой  - Омск"</t>
  </si>
  <si>
    <t>ООО "Новосибдорстрой"</t>
  </si>
  <si>
    <t>ООО "Автодорремонт техно"</t>
  </si>
  <si>
    <t>ООО "Новосибстройпроект"</t>
  </si>
  <si>
    <t>ООО "Здвинское ДСУ"</t>
  </si>
  <si>
    <t>ООО "ВЕРТИКАЛЬ"</t>
  </si>
  <si>
    <t>ООО "Роад"</t>
  </si>
  <si>
    <t>ООО "СоюзДорСтрой"</t>
  </si>
  <si>
    <t>ООО "КМС-Строймонтаж"</t>
  </si>
  <si>
    <t>ООО "Союздорстрой"</t>
  </si>
  <si>
    <t>ООО Инвестройпроект</t>
  </si>
  <si>
    <t>ООО «ДОРСТРОЙФЛОТ»</t>
  </si>
  <si>
    <t>ООО "Дорсиб Плюс"</t>
  </si>
  <si>
    <t>ООО «СоюзДорСтрой»</t>
  </si>
  <si>
    <t>ООО "Перлит-Строй"</t>
  </si>
  <si>
    <t>ОАО "Новосибирскавтодор"</t>
  </si>
  <si>
    <t>ПАО "Ростелеком"/ООО "Дорсиб Плюс"</t>
  </si>
  <si>
    <t>ФГУП "СВЭКО"</t>
  </si>
  <si>
    <t>ООО "Сибстройпроект"</t>
  </si>
  <si>
    <t>МУП "УЗСПТС"</t>
  </si>
  <si>
    <t>ООО "БРАВ-ТР"</t>
  </si>
  <si>
    <t>ООО "СтройСити"</t>
  </si>
  <si>
    <t>ООО "СТС-ПЛЮС"</t>
  </si>
  <si>
    <t>0851200000619003891</t>
  </si>
  <si>
    <t>0851200000619001988</t>
  </si>
  <si>
    <t>0851200000619001823</t>
  </si>
  <si>
    <t xml:space="preserve">Ремонт а/д «Коченево-Поваренка»  в Коченевском районе Новосибирской области </t>
  </si>
  <si>
    <t xml:space="preserve">Ремонт а/д "Новосибирск-Кочки-Павлодар (в пред. РФ)"  в Кочковском районе Новосибирской области </t>
  </si>
  <si>
    <t>Ремонт а/д «Куйбышев – Венгерово – гр. Омской области (старый Московский тракт)» в Усть Таркском районе Новосибирской области</t>
  </si>
  <si>
    <t>Ремонт а/д 992 км а/д "Р-254"-Купино-Карасук в Чистоозерном районе Новосибирской области</t>
  </si>
  <si>
    <t>ООО «ВЕРТИКАЛЬ»</t>
  </si>
  <si>
    <t>30.09.2020</t>
  </si>
  <si>
    <t>22.10.2020</t>
  </si>
  <si>
    <t>12.10.2020</t>
  </si>
  <si>
    <t>06.10.2020</t>
  </si>
  <si>
    <t>29.09.2020</t>
  </si>
  <si>
    <t>Ф.2019.9298</t>
  </si>
  <si>
    <t>ООО "Ставр"</t>
  </si>
  <si>
    <t>ООО "Технадзор"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</si>
  <si>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ИТОГО:</t>
  </si>
  <si>
    <t xml:space="preserve"> Реконструкция автомобильной дороги "Мироновка - Петрушино" в Баганском районе Новосибирской области (кредитерская задолженность) </t>
  </si>
  <si>
    <t xml:space="preserve">Реконструкция моста через ручей на 19 км а/д "Мальчиха - Лаптевка" в Колыванском районе Новосибирской области (кредиторская задолженность) </t>
  </si>
  <si>
    <t xml:space="preserve">Капитальный ремонт водопропускной тубы в Искитимском районе Новосибирской области (кредиторская задолженность) </t>
  </si>
  <si>
    <t>15.09.2020</t>
  </si>
  <si>
    <t>30.10.2020</t>
  </si>
  <si>
    <t>18.11.2020</t>
  </si>
  <si>
    <t>30.11.2020</t>
  </si>
  <si>
    <t>Ремонт 15 км а/д "К-27"-Луговой в Краснозерском районе Новосибирской области</t>
  </si>
  <si>
    <t>Ремонт автомобильной дороги "Корнилово - Кармановка" в Болотнинском районе</t>
  </si>
  <si>
    <t>04.12.2020</t>
  </si>
  <si>
    <t>ООО "НСК-Строй"</t>
  </si>
  <si>
    <t>этап 2020 года завершен</t>
  </si>
  <si>
    <t>Отчёт по БКАД в части автомобильных дорог регионального и межмуниципального значения за 2020 год (по состоянию на 31.12.2020)</t>
  </si>
  <si>
    <t>20.12.2020</t>
  </si>
  <si>
    <t>25.12.2020</t>
  </si>
  <si>
    <t>15.12.2020</t>
  </si>
  <si>
    <t>областной    бюджет R     (БКАД)</t>
  </si>
  <si>
    <t>ООО "Люкс"</t>
  </si>
  <si>
    <t>Всего областной</t>
  </si>
  <si>
    <t>ООО "Сибавтобан" кредиторская задолженность по принятым работам 2019 за счет лимитов 2020 года</t>
  </si>
  <si>
    <t>Новосибирск - Кочки - Павлодар (в пред.РФ)» на участке Новосибирск - Ярково в Новосибирском районе Новосибирской области</t>
  </si>
  <si>
    <r>
      <t xml:space="preserve">План на 2020 год, </t>
    </r>
    <r>
      <rPr>
        <b/>
        <sz val="12"/>
        <color rgb="FF0070C0"/>
        <rFont val="Times New Roman"/>
        <family val="1"/>
        <charset val="204"/>
      </rPr>
      <t>тыс.руб.</t>
    </r>
  </si>
  <si>
    <r>
      <t xml:space="preserve">Кассовые расходы на 31.12.2020, </t>
    </r>
    <r>
      <rPr>
        <b/>
        <sz val="12"/>
        <color rgb="FF0070C0"/>
        <rFont val="Times New Roman"/>
        <family val="1"/>
        <charset val="204"/>
      </rPr>
      <t>рублей.</t>
    </r>
  </si>
  <si>
    <t>Фактичес-кая дата завершения работ</t>
  </si>
  <si>
    <t>Обязатель-ства перешли на 2021 год</t>
  </si>
  <si>
    <t xml:space="preserve">по состоянию на: </t>
  </si>
  <si>
    <t>Приложение № 1</t>
  </si>
  <si>
    <t xml:space="preserve"> информация о реализации национального проекта "Безопасные и качественные автомобильные дороги" в соответствии с изменениями</t>
  </si>
  <si>
    <t>Новосибирская область</t>
  </si>
  <si>
    <t>№ п/п</t>
  </si>
  <si>
    <t>Вид работ (строительство/ реконструкция/  капремонт/ ремонт / иное)</t>
  </si>
  <si>
    <t>Мероприятие по устранению режима перегрузки
(да / нет)</t>
  </si>
  <si>
    <t>Заказчик</t>
  </si>
  <si>
    <t>Способ закупки (открытый конкурс, электронный аукцион, единственный поставщик и т.д.)</t>
  </si>
  <si>
    <t>Количество объявленных тендеров</t>
  </si>
  <si>
    <t>Реестровый номер контракта в ЕИС</t>
  </si>
  <si>
    <t>Начальная (максимальная) цена контракта .
 (тыс. руб.)</t>
  </si>
  <si>
    <t xml:space="preserve">Стоимость контракта (тыс. руб.) </t>
  </si>
  <si>
    <t>Объем экономии по результатам торгов             (тыс. руб.)
гр. 8 - гр. 9</t>
  </si>
  <si>
    <r>
      <t xml:space="preserve">Мощность объекта в соответствии с условиями контракта
</t>
    </r>
    <r>
      <rPr>
        <b/>
        <sz val="14"/>
        <rFont val="Times New Roman"/>
        <family val="1"/>
        <charset val="204"/>
      </rPr>
      <t>(указывается в км)</t>
    </r>
  </si>
  <si>
    <r>
      <t>Объем выполненных работ согласно актам на отчетную дату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(указывается в км), с начала реализации</t>
    </r>
  </si>
  <si>
    <t>Объем выполненных работ согласно актам (тыс. руб.), с начала реализации</t>
  </si>
  <si>
    <t>Техническая готовность 
(%)
гр. 17 / гр. 12</t>
  </si>
  <si>
    <t>Срок выполнения работ по контракту (число, месяц, год)</t>
  </si>
  <si>
    <t>Кассовые расходы на отчетную дату (тыс.руб.)</t>
  </si>
  <si>
    <r>
      <t xml:space="preserve">План на 2019 год, </t>
    </r>
    <r>
      <rPr>
        <b/>
        <sz val="12"/>
        <color rgb="FF0070C0"/>
        <rFont val="Times New Roman"/>
        <family val="1"/>
        <charset val="204"/>
      </rPr>
      <t>тыс.руб.</t>
    </r>
  </si>
  <si>
    <t xml:space="preserve">план </t>
  </si>
  <si>
    <t>факт</t>
  </si>
  <si>
    <t xml:space="preserve">Первоначальная </t>
  </si>
  <si>
    <t>С учетом дополнительных соглашений</t>
  </si>
  <si>
    <t>Причины внесения изменений в стоимость контракта</t>
  </si>
  <si>
    <t>всего</t>
  </si>
  <si>
    <t>ФБ</t>
  </si>
  <si>
    <t>БС</t>
  </si>
  <si>
    <t>МБ</t>
  </si>
  <si>
    <t>Автомобильные дороги регионального и межмуниципального значения, не входящие в состав городской агломерации</t>
  </si>
  <si>
    <t>Строительство моста через р. Карасук на 5 км автодороги "Майское-Чернаки" в Краснозерском районе</t>
  </si>
  <si>
    <t>Строительство</t>
  </si>
  <si>
    <t>НЕТ</t>
  </si>
  <si>
    <t>ГКУ НСО ТУАД</t>
  </si>
  <si>
    <t>электронный аукцион</t>
  </si>
  <si>
    <t xml:space="preserve"> 0851200000619001864  </t>
  </si>
  <si>
    <t>ООО "МОСТОСТРОЙ-ОМСК"</t>
  </si>
  <si>
    <t>уменьшение цены без изменения объема работ</t>
  </si>
  <si>
    <t>Строительство мостового перехода ч/р Ик на а/д "Легостаево - Новососедово - Верх-Ики ( в гр.района)" в Искитимском районе</t>
  </si>
  <si>
    <t xml:space="preserve"> Ф.2018.206656</t>
  </si>
  <si>
    <t>Расторжение на основании решения суда от 05.11.2019 (по ст. 451 ГК РФ)</t>
  </si>
  <si>
    <t xml:space="preserve"> - </t>
  </si>
  <si>
    <t>Реконструкция а/д "Барабинск-Зюзя-Квашнино" в Барабинском районе</t>
  </si>
  <si>
    <t>Реконструкция</t>
  </si>
  <si>
    <t>Ф.2017.273290</t>
  </si>
  <si>
    <t>уменьшение цены без изменения объемов работ</t>
  </si>
  <si>
    <t>Реконструкция а/д "Венгерово - Минино - Верх-Красноярка - Северное (в гр. района)" в Венгеровском районе</t>
  </si>
  <si>
    <t>Ф.2018.323949</t>
  </si>
  <si>
    <t>Реконструкция а/д "Мироновка-Петрушино" в Баганском районе</t>
  </si>
  <si>
    <t>0851200000619001428</t>
  </si>
  <si>
    <t>Реконструкция автомобильной дороги "992 км а/д "М-51" - Купино - Карасук" в Татарском районе</t>
  </si>
  <si>
    <t>0851200000619001427</t>
  </si>
  <si>
    <t>увеличение объемов работ и цены контракта</t>
  </si>
  <si>
    <t>Реконструкция автомобильной дороги "992 км а/д "М-51" - Купино - Карасук" в Чистоозерном районе</t>
  </si>
  <si>
    <t>0851200000619001613</t>
  </si>
  <si>
    <t>Реконструкция автомобильной дороги регионального значения  "Новосибирск - аэропорт Толмачево" в г. Обь</t>
  </si>
  <si>
    <t xml:space="preserve"> Ф.2018.533721</t>
  </si>
  <si>
    <t>уменьшение объема работ и цены контракта</t>
  </si>
  <si>
    <t>Реконструкция моста через ручей на 19 км а/д "Мальчиха - Лаптевка" в Колыванском районе</t>
  </si>
  <si>
    <t>открытый конкурс</t>
  </si>
  <si>
    <t>1/85 от 06.02.2019</t>
  </si>
  <si>
    <t>ООО "СибИнжиниринг"</t>
  </si>
  <si>
    <t>уменьшение цены и уменьшение объема работ</t>
  </si>
  <si>
    <t>Капитальный ремонт пешеходного моста на  8,61 км  а/д "Советское шоссе" в Новосибирском районе</t>
  </si>
  <si>
    <t>Капитальный ремонт</t>
  </si>
  <si>
    <t xml:space="preserve">0851200000619001993 </t>
  </si>
  <si>
    <t>Капитальный ремонт а/д "105 км а/д "М-52" - Черепаново -  Маслянино" в Маслянинском районе</t>
  </si>
  <si>
    <t>Ф.2017.426099</t>
  </si>
  <si>
    <t>ООО "Маслянинское ДРСУ"</t>
  </si>
  <si>
    <t>Капитальный ремонт а/д "105 км а/д "М-52" - Черепаново - Маслянино" в Черепановском районе</t>
  </si>
  <si>
    <t>0851200000619001255</t>
  </si>
  <si>
    <t>СК "Магистраль"</t>
  </si>
  <si>
    <t>Капитальный ремонт а/д "1413 км а/д "М-51" - Колывань" в Колыванском районе</t>
  </si>
  <si>
    <t>Ф.2018.145149</t>
  </si>
  <si>
    <t>уменьшение объемов работ и цены контракта</t>
  </si>
  <si>
    <t>Капитальный ремонт а/д "24 км а/д "М-53" - Локти (в гр. района)" в Мошковском районе</t>
  </si>
  <si>
    <t>Ф.2018.229390</t>
  </si>
  <si>
    <t>Капитальный ремонт а/д "52 км а/д "М-52" -  Искитим" в Искитимском районе</t>
  </si>
  <si>
    <t>0851200000619001863</t>
  </si>
  <si>
    <t xml:space="preserve"> уменьшение цены без изменения объемов работ</t>
  </si>
  <si>
    <t>Капитальный ремонт а/д "53 км а/д "К-15" - Борково" в Маслянинском районе</t>
  </si>
  <si>
    <t xml:space="preserve">0851200000619001860 </t>
  </si>
  <si>
    <t>Капитальный ремонт а/д "53 км а/д "К-29" - Шарчино" в Сузунском районе</t>
  </si>
  <si>
    <t>0851200000619001329</t>
  </si>
  <si>
    <t>Капитальный ремонт а/д "60 км а/д "К-09" - Довольное" в Каргатском районе</t>
  </si>
  <si>
    <t>0851200000619001991</t>
  </si>
  <si>
    <t>Капитальный ремонт а/д "Кыштовка-Малокрасноярка" в Кыштовском районе</t>
  </si>
  <si>
    <t xml:space="preserve"> 0851200000619001874</t>
  </si>
  <si>
    <t>ООО "Новосибирскагропромдорстрой"</t>
  </si>
  <si>
    <t>Капитальный ремонт  а/д  «Подъезд к с. Здвинск/2км/» в Здвинском районе Новосибирской области.</t>
  </si>
  <si>
    <t>0851200000619001861</t>
  </si>
  <si>
    <t>Капитальный ремонт а/д "Сузун - Битки - Преображенка - 18 км а/д "К-13" (в гр. района)" в Искитимском районе</t>
  </si>
  <si>
    <t xml:space="preserve"> 0851200000619001862 </t>
  </si>
  <si>
    <t>Капитальный ремонт а/д "Убинское - Кундран" в Убинском районе</t>
  </si>
  <si>
    <t xml:space="preserve">0851200000619001987 </t>
  </si>
  <si>
    <t>уменьшение объема работ и уменьшение цены</t>
  </si>
  <si>
    <t>Капитальный ремонт водопропускной трубы в Искитимском районе</t>
  </si>
  <si>
    <t>Капитальный ремонт водопропускной трубы в Куйбышевском районе</t>
  </si>
  <si>
    <t>Ф.2017.140367</t>
  </si>
  <si>
    <t>ООО" Строители Дорог Сибири"</t>
  </si>
  <si>
    <t xml:space="preserve">Капитальный ремонт водопропускной трубы в Кыштовском районе </t>
  </si>
  <si>
    <t>Ф.2018.558879</t>
  </si>
  <si>
    <t>уменьшение цены без изменения объемов</t>
  </si>
  <si>
    <t>Капитальный ремонт водопропускной трубы в Новосибирской районе</t>
  </si>
  <si>
    <t xml:space="preserve">0851200000619001986 </t>
  </si>
  <si>
    <t>Капитальный ремонт водопропускной трубы в Тогучинском районе</t>
  </si>
  <si>
    <t>0851200000619001597</t>
  </si>
  <si>
    <t>ООО "Алтайгазаппарат"</t>
  </si>
  <si>
    <t>Капитальный ремонт водопропускной трубы в Усть-Таркском районе</t>
  </si>
  <si>
    <t>0851200000619001522</t>
  </si>
  <si>
    <t>ООО "Сибстрин"</t>
  </si>
  <si>
    <t>Капитальный ремонт моста ч/р Каргат на 27,285 км а/д "Здвинск-Довольное-17 км а/д "К-09" в Здвинском районе</t>
  </si>
  <si>
    <t xml:space="preserve"> 0851200000619001424</t>
  </si>
  <si>
    <t>Ремонт а/д "10 км а/д "Н-2519" - Варваровка" в Татарском районе</t>
  </si>
  <si>
    <t>Ремонт</t>
  </si>
  <si>
    <t>0851200000619001723</t>
  </si>
  <si>
    <t>ООО "Инвест-Урал"</t>
  </si>
  <si>
    <t>уменьшение объема работ и цены контрката</t>
  </si>
  <si>
    <t>Ремонт а/д "103 км а/д "К-17р" - Петровский - Большеникольское -Чулым (в гр. района)" в Чулымском районе</t>
  </si>
  <si>
    <t>0851200000619001995</t>
  </si>
  <si>
    <t>Ремонт а/д "130 км а/д "М-53" - Тогучин - Карпысак" в Тогучинском районе</t>
  </si>
  <si>
    <t xml:space="preserve"> 0851200000619001992</t>
  </si>
  <si>
    <t>уменьшение лимитов бюджетных обязательств и цены контракта</t>
  </si>
  <si>
    <t>Ремонт а/д "21 км а/д "К-17р" - Верх-Тула" в Новосибирском районе</t>
  </si>
  <si>
    <t>Ф.2018.481010</t>
  </si>
  <si>
    <t>Ремонт а/д "27км а/д "К-07" - Верх-Каргат - Берёзовка - Новощербаки" в Здвинском районе</t>
  </si>
  <si>
    <t>Ремонт а/д "296 км а/д ""К-17р" - Полойка-Травное-Довольное (в гр. района)" в Доволенском районе</t>
  </si>
  <si>
    <t>0851200000619001819</t>
  </si>
  <si>
    <t>Ремонт а/д "296 км а/д "К-17р" - Полойка-Травное-Довольное (в гр. района)" в Краснозерском районе</t>
  </si>
  <si>
    <t>0851200000619001528</t>
  </si>
  <si>
    <t>ООО ПК "Инвестстройпроект"</t>
  </si>
  <si>
    <t>Ремонт а/д "52 км а/д "Н-1408" - Константиновка - Новоалексеевка" в Куйбышевском районе</t>
  </si>
  <si>
    <t xml:space="preserve"> 0851200000619001994</t>
  </si>
  <si>
    <t>ООО "НСП"</t>
  </si>
  <si>
    <t>Ремонт а/д "66 км а/д "К-15"-Елбань" в Маслянинском районе</t>
  </si>
  <si>
    <t>0851200000619001302</t>
  </si>
  <si>
    <t>ООО "Сибдортехнология"</t>
  </si>
  <si>
    <t>Ремонт а/д "66 км а/д "Н-1408"- Ушково - Михайловка"  в Куйбышевском районе</t>
  </si>
  <si>
    <t>ООО "СтройДорСиб"</t>
  </si>
  <si>
    <t>Ремонт а/д "70 км а/д "К-12" - Пихтовка - Пономаревка" в Колыванском районе</t>
  </si>
  <si>
    <t xml:space="preserve"> 0851200000619001758 </t>
  </si>
  <si>
    <t>Ремонт а/д "992 км а/д "М-51" - Купино - Карасук" в Купинском районе</t>
  </si>
  <si>
    <t>0851200000619001738</t>
  </si>
  <si>
    <t>Ремонт а/д "Здвинск-Довольное-17 км а/д "К-09" в Доволенском районе</t>
  </si>
  <si>
    <t>Ремонт а/д "Каргат - Маршанское" в Каргатском районе</t>
  </si>
  <si>
    <t>Ф.2017.426163</t>
  </si>
  <si>
    <t>Ремонт а/д "Куйбышев - Венгерово - гр. Омской области (старый Московский тракт)" в Усть-Таркском районе</t>
  </si>
  <si>
    <t>851200000619001985</t>
  </si>
  <si>
    <t>Ремонт а/д "Новосибирск - Ленинск-Кузнецкий (в границах НСО)" в Тогучинском районе</t>
  </si>
  <si>
    <t xml:space="preserve"> 0851200000619001754 </t>
  </si>
  <si>
    <t>Ремонт а/д "Новосибирск-Кочки-Павлодар (в пред.РФ)" в Карасукском районе</t>
  </si>
  <si>
    <t xml:space="preserve">0851200000619001755 </t>
  </si>
  <si>
    <t>ООО "Вертикаль"</t>
  </si>
  <si>
    <t>0851200000619004735</t>
  </si>
  <si>
    <t>Ремонт а/д "Новосибирск-Кочки-Павлодар (в пред.РФ)" в Краснозерском районе</t>
  </si>
  <si>
    <t xml:space="preserve">0851200000619001753 </t>
  </si>
  <si>
    <t>Ремонт а/д "Новосибирск-Кочки-Павлодар (в пред.РФ)" в Ордынском районе</t>
  </si>
  <si>
    <t>0851200000619001751</t>
  </si>
  <si>
    <t>Ремонт а/д "Подъезд к с. Красная Сибирь\2 км\" в Кочковском районе</t>
  </si>
  <si>
    <t>0851200000619001818</t>
  </si>
  <si>
    <t>ООО "СИБАГРОСТРОЙ"</t>
  </si>
  <si>
    <t>Ремонт а/д "Северное - Чуваши - Кордон" в Северном районе</t>
  </si>
  <si>
    <t>0851200000619001730</t>
  </si>
  <si>
    <t>Ремонт а/д "Сокур - Смоленский - Орск" в Мошковском районе</t>
  </si>
  <si>
    <t>0851200000619001791</t>
  </si>
  <si>
    <t>Ремонт а/д "Чаны - Погорелка" в Чановском районе</t>
  </si>
  <si>
    <t>0851200000619001299</t>
  </si>
  <si>
    <t>Ремонт а/д "Чаны-Венгерово-Кыштовка" в Венгеровском районе</t>
  </si>
  <si>
    <t>0851200000619001752</t>
  </si>
  <si>
    <t>уменьшение цены и уменьшение объемов работ</t>
  </si>
  <si>
    <t xml:space="preserve">0851200000619005049 </t>
  </si>
  <si>
    <t>Ремонт а/д "Чаны-Венгерово-Кыштовка" в Чановском районе</t>
  </si>
  <si>
    <t>0851200000619001756</t>
  </si>
  <si>
    <t>Ремонт а/д "Чингис - Нижнекаменка - Завъялово" в Ордынском районе</t>
  </si>
  <si>
    <t xml:space="preserve"> 0851200000619001264</t>
  </si>
  <si>
    <t>ООО "СибАзСтрой"</t>
  </si>
  <si>
    <t>уменьшение цены без уменьшения объема работ</t>
  </si>
  <si>
    <t>Ремонт а/д "Новосибирск - Колывань -Томск (в границах НСО)" в Колыванском районе</t>
  </si>
  <si>
    <t>0851200000619004861</t>
  </si>
  <si>
    <t>ООО "Автодорремонттехно"</t>
  </si>
  <si>
    <t>Ремонт а/д "1411 км а/д "М-51" - Новокремлевское км 0+000 - км 0+686, км 1+583 - км 18+958 в Коченевском районе</t>
  </si>
  <si>
    <t xml:space="preserve"> 0851200000619002300</t>
  </si>
  <si>
    <t>в связи с уменьшением ЛБО уменьшение цены контракта</t>
  </si>
  <si>
    <t>Ремонт а/д "1402 км а/д "М-51 " - Новомихайловка - Ермиловка км 0+504 - км 32+701" в Коченевском районе</t>
  </si>
  <si>
    <t xml:space="preserve"> 0851200000619002292</t>
  </si>
  <si>
    <t>Автомобильные дороги, входящие в состав городской агломерации</t>
  </si>
  <si>
    <t>Реконструкция автомобильной дороги "Новосибирск-Ленинск-Кузнецкий" на участке км 12- км 24 в Новосибирском районе Новосибирской области*</t>
  </si>
  <si>
    <t>ДА</t>
  </si>
  <si>
    <t>Ф.2017.270183</t>
  </si>
  <si>
    <t>ООО "Сибавтобан"</t>
  </si>
  <si>
    <t>увеличение цены без изменения объемов работ (НДС)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</si>
  <si>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</t>
  </si>
  <si>
    <t>Ф.2017.279391*</t>
  </si>
  <si>
    <t>Реконструкция автомобильной дороги  "Инская - Барышево - 39 км а/д "К-19р" (в гр. района)" на участке км 26+000 - км 30+739 в Новосибирском и Тогучинском районах</t>
  </si>
  <si>
    <t>Ремонт а/д "12 км а/д "К-12" -  Криводановка" в Новосибирском районе</t>
  </si>
  <si>
    <t xml:space="preserve"> 0851200000619001865</t>
  </si>
  <si>
    <t>Ремонт а/д "Новосибирск -  Кочки - Павлодар (в пред. РФ)" в Новосибирском районе</t>
  </si>
  <si>
    <t>0851200000619001565</t>
  </si>
  <si>
    <t>Ремонт а/д "Новосибирск - Колывань -Томск (в границах НСО)" в Новосибирском и Коченевском районах</t>
  </si>
  <si>
    <t>0851200000619001615</t>
  </si>
  <si>
    <t>Ремонт а/д "Новосибирск - Сокур (в гр. района)" в Мошковском районе</t>
  </si>
  <si>
    <t>0851200000619002261</t>
  </si>
  <si>
    <t>Ремонт а/д "Новосибирск-Красный Яр" в Новосибирском районе</t>
  </si>
  <si>
    <t>0851200000619001989</t>
  </si>
  <si>
    <t>ООО "ДОРОГИ СИБИРИ"</t>
  </si>
  <si>
    <t>Ремонт а/д "Новосибирск - Ленинск-Кузнецкий (в границах НСО)" в Новосибирском районе</t>
  </si>
  <si>
    <t>0851200000619004736</t>
  </si>
  <si>
    <t>ООО "СИБДОРСТРОЙ"</t>
  </si>
  <si>
    <t>Итого:</t>
  </si>
  <si>
    <t>* В т.ч. Проектно-изыскательские работы - 54770,74936 тыс. руб.</t>
  </si>
  <si>
    <t>ООО «СтройСити»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</si>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</sst>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[$-419]General"/>
    <numFmt numFmtId="165" formatCode="#,##0.0"/>
    <numFmt numFmtId="166" formatCode="0.000"/>
    <numFmt numFmtId="167" formatCode="\ #,"/>
    <numFmt numFmtId="168" formatCode="\ #.00,"/>
    <numFmt numFmtId="169" formatCode="#,##0.000"/>
    <numFmt numFmtId="170" formatCode="#,##0.00,"/>
  </numFmts>
  <fonts count="3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b/>
      <sz val="16"/>
      <color theme="1"/>
      <name val="Times New Roman"/>
      <family val="1"/>
      <charset val="204"/>
    </font>
    <font>
      <sz val="12"/>
      <name val="Times New Roman CE"/>
      <family val="1"/>
      <charset val="238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 CE"/>
      <family val="1"/>
      <charset val="238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0" fontId="6" fillId="0" borderId="0"/>
    <xf numFmtId="0" fontId="7" fillId="0" borderId="0"/>
    <xf numFmtId="0" fontId="9" fillId="0" borderId="0"/>
    <xf numFmtId="0" fontId="1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</cellStyleXfs>
  <cellXfs count="311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8" fontId="2" fillId="3" borderId="0" xfId="0" applyNumberFormat="1" applyFont="1" applyFill="1" applyAlignment="1">
      <alignment horizontal="center" vertical="center"/>
    </xf>
    <xf numFmtId="168" fontId="2" fillId="3" borderId="0" xfId="6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0" borderId="1" xfId="6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5" fontId="2" fillId="0" borderId="1" xfId="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69" fontId="12" fillId="0" borderId="1" xfId="0" applyNumberFormat="1" applyFont="1" applyFill="1" applyBorder="1" applyAlignment="1" applyProtection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2" fillId="5" borderId="0" xfId="0" applyNumberFormat="1" applyFont="1" applyFill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 wrapText="1"/>
    </xf>
    <xf numFmtId="168" fontId="2" fillId="0" borderId="1" xfId="6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 wrapText="1"/>
    </xf>
    <xf numFmtId="168" fontId="8" fillId="0" borderId="1" xfId="6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168" fontId="2" fillId="0" borderId="0" xfId="6" applyNumberFormat="1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Alignment="1">
      <alignment horizontal="center" vertical="center"/>
    </xf>
    <xf numFmtId="165" fontId="2" fillId="6" borderId="0" xfId="0" applyNumberFormat="1" applyFont="1" applyFill="1" applyAlignment="1">
      <alignment horizontal="center" vertical="center"/>
    </xf>
    <xf numFmtId="168" fontId="2" fillId="6" borderId="0" xfId="6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4" xfId="6" applyNumberFormat="1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 vertical="center" wrapText="1"/>
    </xf>
    <xf numFmtId="4" fontId="2" fillId="0" borderId="2" xfId="6" applyNumberFormat="1" applyFont="1" applyFill="1" applyBorder="1" applyAlignment="1">
      <alignment horizontal="center" vertical="center" wrapText="1"/>
    </xf>
    <xf numFmtId="4" fontId="2" fillId="0" borderId="3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Fill="1" applyAlignment="1">
      <alignment horizontal="center" vertical="center"/>
    </xf>
    <xf numFmtId="4" fontId="2" fillId="5" borderId="0" xfId="6" applyNumberFormat="1" applyFont="1" applyFill="1" applyAlignment="1">
      <alignment horizontal="center" vertical="center"/>
    </xf>
    <xf numFmtId="0" fontId="2" fillId="7" borderId="0" xfId="0" applyFont="1" applyFill="1"/>
    <xf numFmtId="4" fontId="5" fillId="0" borderId="1" xfId="6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8" fontId="2" fillId="0" borderId="2" xfId="6" applyNumberFormat="1" applyFont="1" applyFill="1" applyBorder="1" applyAlignment="1">
      <alignment horizontal="center" vertical="center"/>
    </xf>
    <xf numFmtId="168" fontId="2" fillId="0" borderId="4" xfId="6" applyNumberFormat="1" applyFont="1" applyFill="1" applyBorder="1" applyAlignment="1">
      <alignment horizontal="center" vertical="center"/>
    </xf>
    <xf numFmtId="168" fontId="2" fillId="0" borderId="3" xfId="6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8" fontId="2" fillId="0" borderId="2" xfId="6" applyNumberFormat="1" applyFont="1" applyFill="1" applyBorder="1" applyAlignment="1">
      <alignment horizontal="center" vertical="center" wrapText="1"/>
    </xf>
    <xf numFmtId="168" fontId="2" fillId="0" borderId="3" xfId="6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4" fontId="2" fillId="0" borderId="2" xfId="6" applyNumberFormat="1" applyFont="1" applyFill="1" applyBorder="1" applyAlignment="1">
      <alignment horizontal="center" vertical="center"/>
    </xf>
    <xf numFmtId="4" fontId="2" fillId="0" borderId="3" xfId="6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2" fontId="2" fillId="7" borderId="0" xfId="0" applyNumberFormat="1" applyFont="1" applyFill="1"/>
    <xf numFmtId="165" fontId="12" fillId="0" borderId="2" xfId="0" applyNumberFormat="1" applyFont="1" applyFill="1" applyBorder="1" applyAlignment="1" applyProtection="1">
      <alignment vertical="center" wrapText="1"/>
    </xf>
    <xf numFmtId="165" fontId="12" fillId="0" borderId="3" xfId="0" applyNumberFormat="1" applyFont="1" applyFill="1" applyBorder="1" applyAlignment="1" applyProtection="1">
      <alignment vertical="center" wrapText="1"/>
    </xf>
    <xf numFmtId="2" fontId="2" fillId="4" borderId="0" xfId="0" applyNumberFormat="1" applyFont="1" applyFill="1"/>
    <xf numFmtId="166" fontId="12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right" vertical="center"/>
    </xf>
    <xf numFmtId="14" fontId="20" fillId="0" borderId="0" xfId="0" applyNumberFormat="1" applyFont="1" applyFill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/>
    </xf>
    <xf numFmtId="4" fontId="18" fillId="0" borderId="0" xfId="4" applyNumberFormat="1" applyFont="1" applyFill="1" applyBorder="1" applyAlignment="1">
      <alignment vertical="center"/>
    </xf>
    <xf numFmtId="2" fontId="18" fillId="0" borderId="0" xfId="4" applyNumberFormat="1" applyFont="1" applyFill="1" applyBorder="1" applyAlignment="1">
      <alignment vertical="center"/>
    </xf>
    <xf numFmtId="0" fontId="18" fillId="0" borderId="0" xfId="4" applyFont="1" applyFill="1"/>
    <xf numFmtId="0" fontId="18" fillId="0" borderId="0" xfId="4" applyFont="1" applyFill="1" applyBorder="1" applyAlignment="1">
      <alignment horizontal="right" vertical="center"/>
    </xf>
    <xf numFmtId="4" fontId="18" fillId="0" borderId="0" xfId="4" applyNumberFormat="1" applyFont="1" applyFill="1" applyAlignment="1">
      <alignment horizontal="center" vertical="center" wrapText="1"/>
    </xf>
    <xf numFmtId="0" fontId="22" fillId="0" borderId="11" xfId="4" applyFont="1" applyFill="1" applyBorder="1" applyAlignment="1">
      <alignment horizontal="center" vertical="center"/>
    </xf>
    <xf numFmtId="0" fontId="21" fillId="0" borderId="11" xfId="4" applyFont="1" applyFill="1" applyBorder="1" applyAlignment="1">
      <alignment vertical="center"/>
    </xf>
    <xf numFmtId="0" fontId="21" fillId="0" borderId="11" xfId="4" applyFont="1" applyFill="1" applyBorder="1" applyAlignment="1">
      <alignment horizontal="center" vertical="center"/>
    </xf>
    <xf numFmtId="4" fontId="21" fillId="0" borderId="11" xfId="4" applyNumberFormat="1" applyFont="1" applyFill="1" applyBorder="1" applyAlignment="1">
      <alignment vertical="center"/>
    </xf>
    <xf numFmtId="2" fontId="21" fillId="0" borderId="11" xfId="4" applyNumberFormat="1" applyFont="1" applyFill="1" applyBorder="1" applyAlignment="1">
      <alignment vertical="center"/>
    </xf>
    <xf numFmtId="0" fontId="23" fillId="0" borderId="11" xfId="4" applyFont="1" applyFill="1" applyBorder="1" applyAlignment="1"/>
    <xf numFmtId="4" fontId="18" fillId="0" borderId="0" xfId="4" applyNumberFormat="1" applyFont="1" applyFill="1" applyBorder="1" applyAlignment="1">
      <alignment horizontal="center" vertical="center" wrapText="1"/>
    </xf>
    <xf numFmtId="0" fontId="18" fillId="0" borderId="0" xfId="4" applyFont="1" applyFill="1" applyBorder="1"/>
    <xf numFmtId="0" fontId="23" fillId="0" borderId="1" xfId="4" applyFont="1" applyFill="1" applyBorder="1" applyAlignment="1">
      <alignment horizontal="center" vertical="center"/>
    </xf>
    <xf numFmtId="4" fontId="23" fillId="0" borderId="1" xfId="4" applyNumberFormat="1" applyFont="1" applyFill="1" applyBorder="1" applyAlignment="1">
      <alignment horizontal="center" vertical="center" wrapText="1"/>
    </xf>
    <xf numFmtId="2" fontId="23" fillId="0" borderId="1" xfId="4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4" fontId="1" fillId="0" borderId="1" xfId="8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0" fontId="23" fillId="0" borderId="5" xfId="4" applyFont="1" applyFill="1" applyBorder="1" applyAlignment="1">
      <alignment vertical="center"/>
    </xf>
    <xf numFmtId="0" fontId="23" fillId="0" borderId="6" xfId="4" applyFont="1" applyFill="1" applyBorder="1" applyAlignment="1">
      <alignment vertical="center"/>
    </xf>
    <xf numFmtId="0" fontId="23" fillId="0" borderId="6" xfId="4" applyFont="1" applyFill="1" applyBorder="1" applyAlignment="1">
      <alignment horizontal="center" vertical="center"/>
    </xf>
    <xf numFmtId="4" fontId="23" fillId="0" borderId="6" xfId="4" applyNumberFormat="1" applyFont="1" applyFill="1" applyBorder="1" applyAlignment="1">
      <alignment vertical="center"/>
    </xf>
    <xf numFmtId="2" fontId="23" fillId="0" borderId="6" xfId="4" applyNumberFormat="1" applyFont="1" applyFill="1" applyBorder="1" applyAlignment="1">
      <alignment vertical="center"/>
    </xf>
    <xf numFmtId="4" fontId="23" fillId="0" borderId="6" xfId="4" applyNumberFormat="1" applyFont="1" applyFill="1" applyBorder="1" applyAlignment="1">
      <alignment horizontal="center" vertical="center" wrapText="1"/>
    </xf>
    <xf numFmtId="4" fontId="23" fillId="0" borderId="7" xfId="4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3" fillId="0" borderId="1" xfId="4" applyFont="1" applyFill="1" applyBorder="1" applyAlignment="1">
      <alignment horizontal="left" vertical="center"/>
    </xf>
    <xf numFmtId="3" fontId="23" fillId="0" borderId="1" xfId="4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4" fontId="23" fillId="0" borderId="1" xfId="4" applyNumberFormat="1" applyFont="1" applyFill="1" applyBorder="1" applyAlignment="1">
      <alignment horizontal="center" vertical="center"/>
    </xf>
    <xf numFmtId="10" fontId="23" fillId="0" borderId="1" xfId="4" applyNumberFormat="1" applyFont="1" applyFill="1" applyBorder="1" applyAlignment="1">
      <alignment horizontal="center" vertical="center"/>
    </xf>
    <xf numFmtId="14" fontId="26" fillId="0" borderId="15" xfId="0" applyNumberFormat="1" applyFont="1" applyFill="1" applyBorder="1" applyAlignment="1">
      <alignment horizontal="center" vertical="center"/>
    </xf>
    <xf numFmtId="2" fontId="23" fillId="0" borderId="1" xfId="4" applyNumberFormat="1" applyFont="1" applyFill="1" applyBorder="1" applyAlignment="1">
      <alignment horizontal="center" vertical="center"/>
    </xf>
    <xf numFmtId="170" fontId="23" fillId="0" borderId="1" xfId="4" applyNumberFormat="1" applyFont="1" applyFill="1" applyBorder="1" applyAlignment="1">
      <alignment horizontal="center" vertical="center"/>
    </xf>
    <xf numFmtId="10" fontId="23" fillId="0" borderId="1" xfId="7" applyNumberFormat="1" applyFont="1" applyFill="1" applyBorder="1" applyAlignment="1">
      <alignment horizontal="center" vertical="center"/>
    </xf>
    <xf numFmtId="169" fontId="23" fillId="0" borderId="1" xfId="4" applyNumberFormat="1" applyFont="1" applyFill="1" applyBorder="1" applyAlignment="1">
      <alignment horizontal="center" vertical="center"/>
    </xf>
    <xf numFmtId="14" fontId="26" fillId="0" borderId="15" xfId="0" applyNumberFormat="1" applyFont="1" applyFill="1" applyBorder="1" applyAlignment="1">
      <alignment horizontal="center" vertical="center" wrapText="1"/>
    </xf>
    <xf numFmtId="165" fontId="23" fillId="0" borderId="1" xfId="4" applyNumberFormat="1" applyFont="1" applyFill="1" applyBorder="1" applyAlignment="1">
      <alignment horizontal="center" vertical="center"/>
    </xf>
    <xf numFmtId="14" fontId="27" fillId="0" borderId="15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wrapText="1"/>
    </xf>
    <xf numFmtId="49" fontId="26" fillId="0" borderId="0" xfId="0" applyNumberFormat="1" applyFont="1" applyFill="1" applyBorder="1" applyAlignment="1">
      <alignment horizont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2" fontId="23" fillId="0" borderId="1" xfId="4" applyNumberFormat="1" applyFont="1" applyFill="1" applyBorder="1" applyAlignment="1">
      <alignment vertical="center" wrapText="1"/>
    </xf>
    <xf numFmtId="4" fontId="23" fillId="0" borderId="7" xfId="4" applyNumberFormat="1" applyFont="1" applyFill="1" applyBorder="1" applyAlignment="1">
      <alignment horizontal="center" vertical="center"/>
    </xf>
    <xf numFmtId="0" fontId="23" fillId="0" borderId="14" xfId="4" applyFont="1" applyFill="1" applyBorder="1" applyAlignment="1">
      <alignment vertical="center"/>
    </xf>
    <xf numFmtId="0" fontId="23" fillId="0" borderId="2" xfId="4" applyFont="1" applyFill="1" applyBorder="1" applyAlignment="1">
      <alignment horizontal="left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4" fontId="23" fillId="0" borderId="2" xfId="4" applyNumberFormat="1" applyFont="1" applyFill="1" applyBorder="1" applyAlignment="1">
      <alignment horizontal="center" vertical="center"/>
    </xf>
    <xf numFmtId="2" fontId="24" fillId="0" borderId="2" xfId="4" applyNumberFormat="1" applyFont="1" applyFill="1" applyBorder="1" applyAlignment="1">
      <alignment horizontal="center" vertical="center" wrapText="1"/>
    </xf>
    <xf numFmtId="14" fontId="26" fillId="0" borderId="16" xfId="0" applyNumberFormat="1" applyFont="1" applyFill="1" applyBorder="1" applyAlignment="1">
      <alignment horizontal="center" vertical="center"/>
    </xf>
    <xf numFmtId="2" fontId="23" fillId="0" borderId="2" xfId="4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23" fillId="0" borderId="2" xfId="4" applyFont="1" applyFill="1" applyBorder="1" applyAlignment="1">
      <alignment horizontal="center" vertical="center"/>
    </xf>
    <xf numFmtId="2" fontId="23" fillId="0" borderId="2" xfId="4" applyNumberFormat="1" applyFont="1" applyFill="1" applyBorder="1" applyAlignment="1">
      <alignment horizontal="center" vertical="center" wrapText="1"/>
    </xf>
    <xf numFmtId="10" fontId="23" fillId="0" borderId="2" xfId="4" applyNumberFormat="1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vertical="center"/>
    </xf>
    <xf numFmtId="0" fontId="25" fillId="0" borderId="6" xfId="0" applyFont="1" applyFill="1" applyBorder="1" applyAlignment="1">
      <alignment vertical="center" wrapText="1"/>
    </xf>
    <xf numFmtId="4" fontId="23" fillId="0" borderId="1" xfId="4" applyNumberFormat="1" applyFont="1" applyFill="1" applyBorder="1" applyAlignment="1">
      <alignment vertical="center"/>
    </xf>
    <xf numFmtId="14" fontId="23" fillId="0" borderId="15" xfId="4" applyNumberFormat="1" applyFont="1" applyFill="1" applyBorder="1" applyAlignment="1">
      <alignment vertical="center"/>
    </xf>
    <xf numFmtId="0" fontId="23" fillId="0" borderId="11" xfId="4" applyFont="1" applyFill="1" applyBorder="1" applyAlignment="1">
      <alignment vertical="center"/>
    </xf>
    <xf numFmtId="4" fontId="23" fillId="0" borderId="11" xfId="4" applyNumberFormat="1" applyFont="1" applyFill="1" applyBorder="1" applyAlignment="1">
      <alignment vertical="center"/>
    </xf>
    <xf numFmtId="2" fontId="23" fillId="0" borderId="11" xfId="4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2" fontId="18" fillId="0" borderId="0" xfId="4" applyNumberFormat="1" applyFont="1" applyFill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3" fontId="21" fillId="0" borderId="1" xfId="4" applyNumberFormat="1" applyFont="1" applyFill="1" applyBorder="1" applyAlignment="1">
      <alignment horizontal="center" vertical="center"/>
    </xf>
    <xf numFmtId="4" fontId="21" fillId="0" borderId="1" xfId="4" applyNumberFormat="1" applyFont="1" applyFill="1" applyBorder="1" applyAlignment="1">
      <alignment horizontal="center" vertical="center"/>
    </xf>
    <xf numFmtId="2" fontId="21" fillId="0" borderId="1" xfId="4" applyNumberFormat="1" applyFont="1" applyFill="1" applyBorder="1" applyAlignment="1">
      <alignment horizontal="center" vertical="center"/>
    </xf>
    <xf numFmtId="14" fontId="21" fillId="0" borderId="1" xfId="4" applyNumberFormat="1" applyFont="1" applyFill="1" applyBorder="1" applyAlignment="1">
      <alignment horizontal="center" vertical="center"/>
    </xf>
    <xf numFmtId="4" fontId="29" fillId="0" borderId="1" xfId="4" applyNumberFormat="1" applyFont="1" applyFill="1" applyBorder="1" applyAlignment="1">
      <alignment horizontal="center" vertical="center" wrapText="1"/>
    </xf>
    <xf numFmtId="0" fontId="23" fillId="0" borderId="0" xfId="4" applyFont="1" applyFill="1"/>
    <xf numFmtId="0" fontId="23" fillId="0" borderId="0" xfId="4" applyFont="1" applyFill="1" applyAlignment="1">
      <alignment horizontal="center"/>
    </xf>
    <xf numFmtId="4" fontId="23" fillId="0" borderId="0" xfId="4" applyNumberFormat="1" applyFont="1" applyFill="1"/>
    <xf numFmtId="2" fontId="23" fillId="0" borderId="0" xfId="4" applyNumberFormat="1" applyFont="1" applyFill="1"/>
    <xf numFmtId="165" fontId="5" fillId="0" borderId="3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 applyProtection="1">
      <alignment horizontal="center" vertical="center"/>
    </xf>
    <xf numFmtId="0" fontId="23" fillId="0" borderId="1" xfId="4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 wrapText="1"/>
    </xf>
    <xf numFmtId="0" fontId="23" fillId="0" borderId="4" xfId="4" applyFont="1" applyFill="1" applyBorder="1" applyAlignment="1">
      <alignment horizontal="center" vertical="center" wrapText="1"/>
    </xf>
    <xf numFmtId="0" fontId="23" fillId="0" borderId="3" xfId="4" applyFont="1" applyFill="1" applyBorder="1" applyAlignment="1">
      <alignment horizontal="center" vertical="center" wrapText="1"/>
    </xf>
    <xf numFmtId="4" fontId="23" fillId="0" borderId="2" xfId="4" applyNumberFormat="1" applyFont="1" applyFill="1" applyBorder="1" applyAlignment="1">
      <alignment horizontal="center" vertical="center" wrapText="1"/>
    </xf>
    <xf numFmtId="4" fontId="23" fillId="0" borderId="4" xfId="4" applyNumberFormat="1" applyFont="1" applyFill="1" applyBorder="1" applyAlignment="1">
      <alignment horizontal="center" vertical="center" wrapText="1"/>
    </xf>
    <xf numFmtId="4" fontId="23" fillId="0" borderId="3" xfId="4" applyNumberFormat="1" applyFont="1" applyFill="1" applyBorder="1" applyAlignment="1">
      <alignment horizontal="center" vertical="center" wrapText="1"/>
    </xf>
    <xf numFmtId="2" fontId="23" fillId="0" borderId="9" xfId="4" applyNumberFormat="1" applyFont="1" applyFill="1" applyBorder="1" applyAlignment="1">
      <alignment horizontal="center" vertical="center" wrapText="1"/>
    </xf>
    <xf numFmtId="2" fontId="23" fillId="0" borderId="12" xfId="4" applyNumberFormat="1" applyFont="1" applyFill="1" applyBorder="1" applyAlignment="1">
      <alignment horizontal="center" vertical="center" wrapText="1"/>
    </xf>
    <xf numFmtId="2" fontId="23" fillId="0" borderId="13" xfId="4" applyNumberFormat="1" applyFont="1" applyFill="1" applyBorder="1" applyAlignment="1">
      <alignment horizontal="center" vertical="center" wrapText="1"/>
    </xf>
    <xf numFmtId="2" fontId="23" fillId="0" borderId="10" xfId="4" applyNumberFormat="1" applyFont="1" applyFill="1" applyBorder="1" applyAlignment="1">
      <alignment horizontal="center" vertical="center" wrapText="1"/>
    </xf>
    <xf numFmtId="2" fontId="23" fillId="0" borderId="11" xfId="4" applyNumberFormat="1" applyFont="1" applyFill="1" applyBorder="1" applyAlignment="1">
      <alignment horizontal="center" vertical="center" wrapText="1"/>
    </xf>
    <xf numFmtId="2" fontId="23" fillId="0" borderId="14" xfId="4" applyNumberFormat="1" applyFont="1" applyFill="1" applyBorder="1" applyAlignment="1">
      <alignment horizontal="center" vertical="center" wrapText="1"/>
    </xf>
    <xf numFmtId="0" fontId="23" fillId="0" borderId="9" xfId="4" applyFont="1" applyFill="1" applyBorder="1" applyAlignment="1">
      <alignment horizontal="center" vertical="center" wrapText="1"/>
    </xf>
    <xf numFmtId="0" fontId="23" fillId="0" borderId="12" xfId="4" applyFont="1" applyFill="1" applyBorder="1" applyAlignment="1">
      <alignment horizontal="center" vertical="center" wrapText="1"/>
    </xf>
    <xf numFmtId="0" fontId="23" fillId="0" borderId="13" xfId="4" applyFont="1" applyFill="1" applyBorder="1" applyAlignment="1">
      <alignment horizontal="center" vertical="center" wrapText="1"/>
    </xf>
    <xf numFmtId="0" fontId="23" fillId="0" borderId="10" xfId="4" applyFont="1" applyFill="1" applyBorder="1" applyAlignment="1">
      <alignment horizontal="center" vertical="center" wrapText="1"/>
    </xf>
    <xf numFmtId="0" fontId="23" fillId="0" borderId="11" xfId="4" applyFont="1" applyFill="1" applyBorder="1" applyAlignment="1">
      <alignment horizontal="center" vertical="center" wrapText="1"/>
    </xf>
    <xf numFmtId="0" fontId="23" fillId="0" borderId="14" xfId="4" applyFont="1" applyFill="1" applyBorder="1" applyAlignment="1">
      <alignment horizontal="center" vertical="center" wrapText="1"/>
    </xf>
    <xf numFmtId="4" fontId="1" fillId="0" borderId="9" xfId="8" applyNumberFormat="1" applyFont="1" applyFill="1" applyBorder="1" applyAlignment="1">
      <alignment horizontal="center" vertical="center" wrapText="1"/>
    </xf>
    <xf numFmtId="4" fontId="1" fillId="0" borderId="12" xfId="8" applyNumberFormat="1" applyFont="1" applyFill="1" applyBorder="1" applyAlignment="1">
      <alignment horizontal="center" vertical="center" wrapText="1"/>
    </xf>
    <xf numFmtId="4" fontId="1" fillId="0" borderId="13" xfId="8" applyNumberFormat="1" applyFont="1" applyFill="1" applyBorder="1" applyAlignment="1">
      <alignment horizontal="center" vertical="center" wrapText="1"/>
    </xf>
    <xf numFmtId="4" fontId="1" fillId="0" borderId="10" xfId="8" applyNumberFormat="1" applyFont="1" applyFill="1" applyBorder="1" applyAlignment="1">
      <alignment horizontal="center" vertical="center" wrapText="1"/>
    </xf>
    <xf numFmtId="4" fontId="1" fillId="0" borderId="11" xfId="8" applyNumberFormat="1" applyFont="1" applyFill="1" applyBorder="1" applyAlignment="1">
      <alignment horizontal="center" vertical="center" wrapText="1"/>
    </xf>
    <xf numFmtId="4" fontId="1" fillId="0" borderId="14" xfId="8" applyNumberFormat="1" applyFont="1" applyFill="1" applyBorder="1" applyAlignment="1">
      <alignment horizontal="center" vertical="center" wrapText="1"/>
    </xf>
    <xf numFmtId="4" fontId="18" fillId="0" borderId="2" xfId="4" applyNumberFormat="1" applyFont="1" applyFill="1" applyBorder="1" applyAlignment="1">
      <alignment horizontal="center" vertical="center" wrapText="1"/>
    </xf>
    <xf numFmtId="4" fontId="18" fillId="0" borderId="3" xfId="4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2" xfId="4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/>
    </xf>
    <xf numFmtId="3" fontId="23" fillId="0" borderId="2" xfId="4" applyNumberFormat="1" applyFont="1" applyFill="1" applyBorder="1" applyAlignment="1">
      <alignment horizontal="center" vertical="center"/>
    </xf>
    <xf numFmtId="3" fontId="23" fillId="0" borderId="3" xfId="4" applyNumberFormat="1" applyFont="1" applyFill="1" applyBorder="1" applyAlignment="1">
      <alignment horizontal="center" vertical="center"/>
    </xf>
    <xf numFmtId="0" fontId="23" fillId="0" borderId="10" xfId="4" applyFont="1" applyFill="1" applyBorder="1" applyAlignment="1">
      <alignment horizontal="left" vertical="center"/>
    </xf>
    <xf numFmtId="0" fontId="23" fillId="0" borderId="11" xfId="4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center"/>
    </xf>
    <xf numFmtId="0" fontId="23" fillId="0" borderId="1" xfId="4" applyFont="1" applyFill="1" applyBorder="1" applyAlignment="1">
      <alignment horizontal="left" vertical="center"/>
    </xf>
    <xf numFmtId="0" fontId="23" fillId="0" borderId="0" xfId="4" applyFont="1" applyFill="1" applyAlignment="1">
      <alignment horizontal="left" wrapText="1"/>
    </xf>
    <xf numFmtId="4" fontId="23" fillId="0" borderId="2" xfId="4" applyNumberFormat="1" applyFont="1" applyFill="1" applyBorder="1" applyAlignment="1">
      <alignment horizontal="center" vertical="center"/>
    </xf>
    <xf numFmtId="4" fontId="23" fillId="0" borderId="3" xfId="4" applyNumberFormat="1" applyFont="1" applyFill="1" applyBorder="1" applyAlignment="1">
      <alignment horizontal="center" vertical="center"/>
    </xf>
    <xf numFmtId="10" fontId="23" fillId="0" borderId="2" xfId="4" applyNumberFormat="1" applyFont="1" applyFill="1" applyBorder="1" applyAlignment="1">
      <alignment horizontal="center" vertical="center"/>
    </xf>
    <xf numFmtId="10" fontId="23" fillId="0" borderId="3" xfId="4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 applyProtection="1">
      <alignment horizontal="center" vertical="center"/>
    </xf>
    <xf numFmtId="165" fontId="12" fillId="0" borderId="2" xfId="0" applyNumberFormat="1" applyFont="1" applyFill="1" applyBorder="1" applyAlignment="1" applyProtection="1">
      <alignment horizontal="center" vertical="center"/>
    </xf>
    <xf numFmtId="165" fontId="12" fillId="0" borderId="3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5" fontId="2" fillId="0" borderId="2" xfId="6" applyNumberFormat="1" applyFont="1" applyFill="1" applyBorder="1" applyAlignment="1">
      <alignment horizontal="center" vertical="center"/>
    </xf>
    <xf numFmtId="165" fontId="2" fillId="0" borderId="3" xfId="6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2" xfId="6" applyNumberFormat="1" applyFont="1" applyFill="1" applyBorder="1" applyAlignment="1">
      <alignment horizontal="center" vertical="center"/>
    </xf>
    <xf numFmtId="4" fontId="2" fillId="0" borderId="3" xfId="6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center" vertical="center"/>
    </xf>
    <xf numFmtId="168" fontId="2" fillId="0" borderId="4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168" fontId="2" fillId="0" borderId="2" xfId="6" applyNumberFormat="1" applyFont="1" applyFill="1" applyBorder="1" applyAlignment="1">
      <alignment horizontal="center" vertical="center"/>
    </xf>
    <xf numFmtId="168" fontId="2" fillId="0" borderId="4" xfId="6" applyNumberFormat="1" applyFont="1" applyFill="1" applyBorder="1" applyAlignment="1">
      <alignment horizontal="center" vertical="center"/>
    </xf>
    <xf numFmtId="168" fontId="2" fillId="0" borderId="3" xfId="6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8" fontId="2" fillId="0" borderId="2" xfId="6" applyNumberFormat="1" applyFont="1" applyFill="1" applyBorder="1" applyAlignment="1">
      <alignment horizontal="center" vertical="center" wrapText="1"/>
    </xf>
    <xf numFmtId="168" fontId="2" fillId="0" borderId="3" xfId="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9" fontId="5" fillId="0" borderId="2" xfId="0" applyNumberFormat="1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12" fillId="0" borderId="2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 applyProtection="1">
      <alignment horizontal="center" vertical="center"/>
    </xf>
    <xf numFmtId="166" fontId="12" fillId="0" borderId="4" xfId="0" applyNumberFormat="1" applyFont="1" applyFill="1" applyBorder="1" applyAlignment="1" applyProtection="1">
      <alignment horizontal="center" vertical="center"/>
    </xf>
    <xf numFmtId="166" fontId="12" fillId="0" borderId="3" xfId="0" applyNumberFormat="1" applyFont="1" applyFill="1" applyBorder="1" applyAlignment="1" applyProtection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9">
    <cellStyle name="Excel Built-in Normal" xfId="1"/>
    <cellStyle name="Обычный" xfId="0" builtinId="0"/>
    <cellStyle name="Обычный 2" xfId="5"/>
    <cellStyle name="Обычный 2 2 5 3" xfId="2"/>
    <cellStyle name="Обычный 2 5" xfId="3"/>
    <cellStyle name="Обычный 3" xfId="4"/>
    <cellStyle name="Обычный 7" xfId="8"/>
    <cellStyle name="Процентный" xfId="7" builtinId="5"/>
    <cellStyle name="Финансовый" xfId="6" builtinId="3"/>
  </cellStyles>
  <dxfs count="13"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</dxf>
    <dxf>
      <font>
        <color auto="1"/>
        <name val="Cambria"/>
        <scheme val="none"/>
      </font>
    </dxf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</dxf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B7B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zoomScale="50" zoomScaleNormal="50" workbookViewId="0">
      <selection activeCell="A20" sqref="A20"/>
    </sheetView>
  </sheetViews>
  <sheetFormatPr defaultRowHeight="15" x14ac:dyDescent="0.25"/>
  <cols>
    <col min="1" max="1" width="6.85546875" customWidth="1"/>
    <col min="2" max="2" width="67.85546875" customWidth="1"/>
    <col min="3" max="3" width="26.42578125" customWidth="1"/>
    <col min="4" max="8" width="0" hidden="1" customWidth="1"/>
    <col min="9" max="9" width="36.140625" customWidth="1"/>
    <col min="10" max="10" width="47.28515625" customWidth="1"/>
    <col min="11" max="12" width="0" hidden="1" customWidth="1"/>
    <col min="13" max="13" width="26.140625" customWidth="1"/>
    <col min="14" max="15" width="0" hidden="1" customWidth="1"/>
    <col min="16" max="16" width="19.85546875" customWidth="1"/>
    <col min="17" max="20" width="0" hidden="1" customWidth="1"/>
    <col min="21" max="21" width="21.140625" customWidth="1"/>
    <col min="22" max="22" width="24.140625" customWidth="1"/>
    <col min="23" max="23" width="20.28515625" customWidth="1"/>
    <col min="24" max="24" width="0" hidden="1" customWidth="1"/>
    <col min="25" max="28" width="16.7109375" customWidth="1"/>
  </cols>
  <sheetData>
    <row r="1" spans="1:29" ht="22.5" x14ac:dyDescent="0.3">
      <c r="A1" s="98"/>
      <c r="B1" s="99" t="s">
        <v>217</v>
      </c>
      <c r="C1" s="100">
        <v>43830</v>
      </c>
      <c r="D1" s="101"/>
      <c r="E1" s="98"/>
      <c r="F1" s="98"/>
      <c r="G1" s="98"/>
      <c r="H1" s="98"/>
      <c r="I1" s="98"/>
      <c r="J1" s="98"/>
      <c r="K1" s="102"/>
      <c r="L1" s="102"/>
      <c r="M1" s="102"/>
      <c r="N1" s="103"/>
      <c r="O1" s="98"/>
      <c r="P1" s="98"/>
      <c r="Q1" s="98"/>
      <c r="R1" s="98"/>
      <c r="S1" s="98"/>
      <c r="T1" s="98"/>
      <c r="U1" s="104"/>
      <c r="V1" s="98"/>
      <c r="W1" s="98"/>
      <c r="X1" s="105" t="s">
        <v>218</v>
      </c>
      <c r="Y1" s="106"/>
      <c r="Z1" s="106"/>
      <c r="AA1" s="106"/>
      <c r="AB1" s="106"/>
      <c r="AC1" s="104"/>
    </row>
    <row r="2" spans="1:29" ht="18.75" x14ac:dyDescent="0.3">
      <c r="A2" s="187" t="s">
        <v>219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06"/>
      <c r="Z2" s="106"/>
      <c r="AA2" s="106"/>
      <c r="AB2" s="106"/>
      <c r="AC2" s="104"/>
    </row>
    <row r="3" spans="1:29" ht="19.5" x14ac:dyDescent="0.3">
      <c r="A3" s="104"/>
      <c r="B3" s="107" t="s">
        <v>220</v>
      </c>
      <c r="C3" s="108"/>
      <c r="D3" s="109"/>
      <c r="E3" s="108"/>
      <c r="F3" s="108"/>
      <c r="G3" s="108"/>
      <c r="H3" s="108"/>
      <c r="I3" s="108"/>
      <c r="J3" s="108"/>
      <c r="K3" s="110"/>
      <c r="L3" s="110"/>
      <c r="M3" s="110"/>
      <c r="N3" s="111"/>
      <c r="O3" s="108"/>
      <c r="P3" s="108"/>
      <c r="Q3" s="108"/>
      <c r="R3" s="108"/>
      <c r="S3" s="108"/>
      <c r="T3" s="108"/>
      <c r="U3" s="108"/>
      <c r="V3" s="108"/>
      <c r="W3" s="108"/>
      <c r="X3" s="112"/>
      <c r="Y3" s="113"/>
      <c r="Z3" s="113"/>
      <c r="AA3" s="113"/>
      <c r="AB3" s="113"/>
      <c r="AC3" s="114"/>
    </row>
    <row r="4" spans="1:29" ht="18.75" x14ac:dyDescent="0.3">
      <c r="A4" s="186" t="s">
        <v>221</v>
      </c>
      <c r="B4" s="186" t="s">
        <v>65</v>
      </c>
      <c r="C4" s="188" t="s">
        <v>222</v>
      </c>
      <c r="D4" s="188" t="s">
        <v>223</v>
      </c>
      <c r="E4" s="188" t="s">
        <v>224</v>
      </c>
      <c r="F4" s="188" t="s">
        <v>225</v>
      </c>
      <c r="G4" s="186" t="s">
        <v>226</v>
      </c>
      <c r="H4" s="186"/>
      <c r="I4" s="188" t="s">
        <v>227</v>
      </c>
      <c r="J4" s="188" t="s">
        <v>145</v>
      </c>
      <c r="K4" s="191" t="s">
        <v>228</v>
      </c>
      <c r="L4" s="194" t="s">
        <v>229</v>
      </c>
      <c r="M4" s="195"/>
      <c r="N4" s="196"/>
      <c r="O4" s="186" t="s">
        <v>230</v>
      </c>
      <c r="P4" s="188" t="s">
        <v>231</v>
      </c>
      <c r="Q4" s="188" t="s">
        <v>232</v>
      </c>
      <c r="R4" s="186" t="s">
        <v>233</v>
      </c>
      <c r="S4" s="188" t="s">
        <v>234</v>
      </c>
      <c r="T4" s="186" t="s">
        <v>235</v>
      </c>
      <c r="U4" s="200" t="s">
        <v>236</v>
      </c>
      <c r="V4" s="201"/>
      <c r="W4" s="201"/>
      <c r="X4" s="202"/>
      <c r="Y4" s="206" t="s">
        <v>237</v>
      </c>
      <c r="Z4" s="207"/>
      <c r="AA4" s="207"/>
      <c r="AB4" s="208"/>
      <c r="AC4" s="104"/>
    </row>
    <row r="5" spans="1:29" ht="18.75" x14ac:dyDescent="0.3">
      <c r="A5" s="186"/>
      <c r="B5" s="186"/>
      <c r="C5" s="189"/>
      <c r="D5" s="189"/>
      <c r="E5" s="189"/>
      <c r="F5" s="189"/>
      <c r="G5" s="186"/>
      <c r="H5" s="186"/>
      <c r="I5" s="189"/>
      <c r="J5" s="189"/>
      <c r="K5" s="192"/>
      <c r="L5" s="197"/>
      <c r="M5" s="198"/>
      <c r="N5" s="199"/>
      <c r="O5" s="186"/>
      <c r="P5" s="189"/>
      <c r="Q5" s="189"/>
      <c r="R5" s="186"/>
      <c r="S5" s="189"/>
      <c r="T5" s="186"/>
      <c r="U5" s="203"/>
      <c r="V5" s="204"/>
      <c r="W5" s="204"/>
      <c r="X5" s="205"/>
      <c r="Y5" s="209"/>
      <c r="Z5" s="210"/>
      <c r="AA5" s="210"/>
      <c r="AB5" s="211"/>
      <c r="AC5" s="104"/>
    </row>
    <row r="6" spans="1:29" ht="56.25" customHeight="1" x14ac:dyDescent="0.3">
      <c r="A6" s="186"/>
      <c r="B6" s="186"/>
      <c r="C6" s="190"/>
      <c r="D6" s="190"/>
      <c r="E6" s="190"/>
      <c r="F6" s="190"/>
      <c r="G6" s="115" t="s">
        <v>238</v>
      </c>
      <c r="H6" s="115" t="s">
        <v>239</v>
      </c>
      <c r="I6" s="190"/>
      <c r="J6" s="190"/>
      <c r="K6" s="193"/>
      <c r="L6" s="116" t="s">
        <v>240</v>
      </c>
      <c r="M6" s="116" t="s">
        <v>241</v>
      </c>
      <c r="N6" s="117" t="s">
        <v>242</v>
      </c>
      <c r="O6" s="186"/>
      <c r="P6" s="190"/>
      <c r="Q6" s="190"/>
      <c r="R6" s="186"/>
      <c r="S6" s="190"/>
      <c r="T6" s="186"/>
      <c r="U6" s="118" t="s">
        <v>243</v>
      </c>
      <c r="V6" s="118" t="s">
        <v>244</v>
      </c>
      <c r="W6" s="118" t="s">
        <v>245</v>
      </c>
      <c r="X6" s="118" t="s">
        <v>246</v>
      </c>
      <c r="Y6" s="119" t="s">
        <v>93</v>
      </c>
      <c r="Z6" s="119" t="s">
        <v>64</v>
      </c>
      <c r="AA6" s="119" t="s">
        <v>208</v>
      </c>
      <c r="AB6" s="119" t="s">
        <v>144</v>
      </c>
      <c r="AC6" s="104"/>
    </row>
    <row r="7" spans="1:29" ht="56.25" hidden="1" customHeight="1" x14ac:dyDescent="0.3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118">
        <v>7</v>
      </c>
      <c r="H7" s="118">
        <v>8</v>
      </c>
      <c r="I7" s="118">
        <v>9</v>
      </c>
      <c r="J7" s="118"/>
      <c r="K7" s="116">
        <v>10</v>
      </c>
      <c r="L7" s="116">
        <v>11</v>
      </c>
      <c r="M7" s="116">
        <v>12</v>
      </c>
      <c r="N7" s="117">
        <v>13</v>
      </c>
      <c r="O7" s="118">
        <v>14</v>
      </c>
      <c r="P7" s="118">
        <v>15</v>
      </c>
      <c r="Q7" s="118">
        <v>16</v>
      </c>
      <c r="R7" s="118">
        <v>17</v>
      </c>
      <c r="S7" s="118">
        <v>18</v>
      </c>
      <c r="T7" s="118">
        <v>19</v>
      </c>
      <c r="U7" s="118">
        <v>20</v>
      </c>
      <c r="V7" s="118">
        <v>21</v>
      </c>
      <c r="W7" s="118">
        <v>22</v>
      </c>
      <c r="X7" s="118">
        <v>23</v>
      </c>
      <c r="Y7" s="120">
        <v>24</v>
      </c>
      <c r="Z7" s="120">
        <v>25</v>
      </c>
      <c r="AA7" s="120">
        <v>26</v>
      </c>
      <c r="AB7" s="120">
        <v>27</v>
      </c>
      <c r="AC7" s="104"/>
    </row>
    <row r="8" spans="1:29" ht="56.25" customHeight="1" x14ac:dyDescent="0.3">
      <c r="A8" s="121" t="s">
        <v>247</v>
      </c>
      <c r="B8" s="122"/>
      <c r="C8" s="122"/>
      <c r="D8" s="123"/>
      <c r="E8" s="122"/>
      <c r="F8" s="122"/>
      <c r="G8" s="122"/>
      <c r="H8" s="122"/>
      <c r="I8" s="122"/>
      <c r="J8" s="122"/>
      <c r="K8" s="124"/>
      <c r="L8" s="124"/>
      <c r="M8" s="124"/>
      <c r="N8" s="125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6"/>
      <c r="Z8" s="126"/>
      <c r="AA8" s="127"/>
      <c r="AB8" s="106"/>
      <c r="AC8" s="104"/>
    </row>
    <row r="9" spans="1:29" ht="56.25" customHeight="1" x14ac:dyDescent="0.3">
      <c r="A9" s="115">
        <v>1</v>
      </c>
      <c r="B9" s="128" t="s">
        <v>248</v>
      </c>
      <c r="C9" s="129" t="s">
        <v>249</v>
      </c>
      <c r="D9" s="115" t="s">
        <v>250</v>
      </c>
      <c r="E9" s="129" t="s">
        <v>251</v>
      </c>
      <c r="F9" s="118" t="s">
        <v>252</v>
      </c>
      <c r="G9" s="130">
        <v>1</v>
      </c>
      <c r="H9" s="130">
        <v>1</v>
      </c>
      <c r="I9" s="131" t="s">
        <v>253</v>
      </c>
      <c r="J9" s="132" t="s">
        <v>254</v>
      </c>
      <c r="K9" s="133">
        <v>118646.44</v>
      </c>
      <c r="L9" s="133">
        <v>117459.97560000001</v>
      </c>
      <c r="M9" s="133">
        <v>116491.97560000001</v>
      </c>
      <c r="N9" s="117" t="s">
        <v>255</v>
      </c>
      <c r="O9" s="133">
        <v>1186.46</v>
      </c>
      <c r="P9" s="133"/>
      <c r="Q9" s="133"/>
      <c r="R9" s="133">
        <v>61600</v>
      </c>
      <c r="S9" s="134">
        <f>R9/M9</f>
        <v>0.52879178744050759</v>
      </c>
      <c r="T9" s="135">
        <v>44116</v>
      </c>
      <c r="U9" s="133">
        <f t="shared" ref="U9:U75" si="0">V9+W9+X9</f>
        <v>61600</v>
      </c>
      <c r="V9" s="133">
        <v>36340.5</v>
      </c>
      <c r="W9" s="133">
        <v>25259.5</v>
      </c>
      <c r="X9" s="136"/>
      <c r="Y9" s="120">
        <f>Z9+AA9+AB9</f>
        <v>61600</v>
      </c>
      <c r="Z9" s="120">
        <v>36340.5</v>
      </c>
      <c r="AA9" s="120">
        <v>25259.5</v>
      </c>
      <c r="AB9" s="120"/>
      <c r="AC9" s="104"/>
    </row>
    <row r="10" spans="1:29" ht="56.25" customHeight="1" x14ac:dyDescent="0.3">
      <c r="A10" s="115">
        <v>2</v>
      </c>
      <c r="B10" s="128" t="s">
        <v>256</v>
      </c>
      <c r="C10" s="129" t="s">
        <v>249</v>
      </c>
      <c r="D10" s="115" t="s">
        <v>250</v>
      </c>
      <c r="E10" s="129" t="s">
        <v>251</v>
      </c>
      <c r="F10" s="118" t="s">
        <v>252</v>
      </c>
      <c r="G10" s="130">
        <v>1</v>
      </c>
      <c r="H10" s="130">
        <v>1</v>
      </c>
      <c r="I10" s="132" t="s">
        <v>257</v>
      </c>
      <c r="J10" s="132" t="s">
        <v>150</v>
      </c>
      <c r="K10" s="133">
        <v>56500</v>
      </c>
      <c r="L10" s="133">
        <v>50567.5</v>
      </c>
      <c r="M10" s="137">
        <f>8929.07425*1000</f>
        <v>8929074.25</v>
      </c>
      <c r="N10" s="117" t="s">
        <v>258</v>
      </c>
      <c r="O10" s="133">
        <v>5932.5</v>
      </c>
      <c r="P10" s="133"/>
      <c r="Q10" s="133"/>
      <c r="R10" s="133">
        <f>6402.0169+2527.05735</f>
        <v>8929.0742499999997</v>
      </c>
      <c r="S10" s="138">
        <v>0.1925</v>
      </c>
      <c r="T10" s="135" t="s">
        <v>259</v>
      </c>
      <c r="U10" s="133">
        <v>8929.0742499999997</v>
      </c>
      <c r="V10" s="133"/>
      <c r="W10" s="133">
        <v>8929.0742499999997</v>
      </c>
      <c r="X10" s="136"/>
      <c r="Y10" s="120">
        <f t="shared" ref="Y10:Y73" si="1">Z10+AA10+AB10</f>
        <v>7397.2</v>
      </c>
      <c r="Z10" s="120"/>
      <c r="AA10" s="120">
        <v>7397.2</v>
      </c>
      <c r="AB10" s="120"/>
      <c r="AC10" s="104"/>
    </row>
    <row r="11" spans="1:29" ht="56.25" customHeight="1" x14ac:dyDescent="0.3">
      <c r="A11" s="115">
        <v>3</v>
      </c>
      <c r="B11" s="128" t="s">
        <v>260</v>
      </c>
      <c r="C11" s="129" t="s">
        <v>261</v>
      </c>
      <c r="D11" s="115" t="s">
        <v>250</v>
      </c>
      <c r="E11" s="129" t="s">
        <v>251</v>
      </c>
      <c r="F11" s="118" t="s">
        <v>252</v>
      </c>
      <c r="G11" s="130">
        <v>1</v>
      </c>
      <c r="H11" s="130">
        <v>1</v>
      </c>
      <c r="I11" s="132" t="s">
        <v>262</v>
      </c>
      <c r="J11" s="132" t="s">
        <v>167</v>
      </c>
      <c r="K11" s="133">
        <v>476289.7</v>
      </c>
      <c r="L11" s="133">
        <v>476289.7</v>
      </c>
      <c r="M11" s="133">
        <v>465103.38802999997</v>
      </c>
      <c r="N11" s="117" t="s">
        <v>263</v>
      </c>
      <c r="O11" s="133"/>
      <c r="P11" s="139">
        <v>7.4589999999999996</v>
      </c>
      <c r="Q11" s="133">
        <v>7.4589999999999996</v>
      </c>
      <c r="R11" s="133">
        <f>291140.38684+173963.00119</f>
        <v>465103.38803000003</v>
      </c>
      <c r="S11" s="138">
        <v>1</v>
      </c>
      <c r="T11" s="140">
        <v>43756</v>
      </c>
      <c r="U11" s="133">
        <f t="shared" si="0"/>
        <v>465103.38802999997</v>
      </c>
      <c r="V11" s="133"/>
      <c r="W11" s="133">
        <v>465103.38802999997</v>
      </c>
      <c r="X11" s="136"/>
      <c r="Y11" s="120">
        <f t="shared" si="1"/>
        <v>173963.1</v>
      </c>
      <c r="Z11" s="120"/>
      <c r="AA11" s="120">
        <v>173963.1</v>
      </c>
      <c r="AB11" s="120"/>
      <c r="AC11" s="104"/>
    </row>
    <row r="12" spans="1:29" ht="56.25" customHeight="1" x14ac:dyDescent="0.3">
      <c r="A12" s="115">
        <v>4</v>
      </c>
      <c r="B12" s="128" t="s">
        <v>264</v>
      </c>
      <c r="C12" s="129" t="s">
        <v>261</v>
      </c>
      <c r="D12" s="115" t="s">
        <v>250</v>
      </c>
      <c r="E12" s="129" t="s">
        <v>251</v>
      </c>
      <c r="F12" s="118" t="s">
        <v>252</v>
      </c>
      <c r="G12" s="130">
        <v>1</v>
      </c>
      <c r="H12" s="130">
        <v>1</v>
      </c>
      <c r="I12" s="132" t="s">
        <v>265</v>
      </c>
      <c r="J12" s="132" t="s">
        <v>150</v>
      </c>
      <c r="K12" s="133">
        <v>187982.96</v>
      </c>
      <c r="L12" s="133">
        <v>187043.04519999999</v>
      </c>
      <c r="M12" s="133">
        <v>182000</v>
      </c>
      <c r="N12" s="117" t="s">
        <v>263</v>
      </c>
      <c r="O12" s="133">
        <v>939.91</v>
      </c>
      <c r="P12" s="133"/>
      <c r="Q12" s="133"/>
      <c r="R12" s="133">
        <f>50000+62064.18205</f>
        <v>112064.18205</v>
      </c>
      <c r="S12" s="138">
        <v>0.5</v>
      </c>
      <c r="T12" s="140">
        <v>44119</v>
      </c>
      <c r="U12" s="133">
        <f t="shared" si="0"/>
        <v>120000</v>
      </c>
      <c r="V12" s="133"/>
      <c r="W12" s="133">
        <v>120000</v>
      </c>
      <c r="X12" s="136"/>
      <c r="Y12" s="120">
        <f t="shared" si="1"/>
        <v>70000</v>
      </c>
      <c r="Z12" s="120"/>
      <c r="AA12" s="120">
        <v>70000</v>
      </c>
      <c r="AB12" s="120"/>
      <c r="AC12" s="104"/>
    </row>
    <row r="13" spans="1:29" ht="56.25" customHeight="1" x14ac:dyDescent="0.3">
      <c r="A13" s="115">
        <v>5</v>
      </c>
      <c r="B13" s="128" t="s">
        <v>266</v>
      </c>
      <c r="C13" s="129" t="s">
        <v>261</v>
      </c>
      <c r="D13" s="115" t="s">
        <v>250</v>
      </c>
      <c r="E13" s="129" t="s">
        <v>251</v>
      </c>
      <c r="F13" s="118" t="s">
        <v>252</v>
      </c>
      <c r="G13" s="130">
        <v>1</v>
      </c>
      <c r="H13" s="130">
        <v>1</v>
      </c>
      <c r="I13" s="131" t="s">
        <v>267</v>
      </c>
      <c r="J13" s="131" t="s">
        <v>167</v>
      </c>
      <c r="K13" s="133">
        <v>266465.59999999998</v>
      </c>
      <c r="L13" s="133">
        <v>266465.59999999998</v>
      </c>
      <c r="M13" s="133">
        <v>265932.07217</v>
      </c>
      <c r="N13" s="117" t="s">
        <v>255</v>
      </c>
      <c r="O13" s="133">
        <v>0</v>
      </c>
      <c r="P13" s="133">
        <v>12.67</v>
      </c>
      <c r="Q13" s="133">
        <v>12.67</v>
      </c>
      <c r="R13" s="133">
        <v>265932.07217</v>
      </c>
      <c r="S13" s="134">
        <v>1</v>
      </c>
      <c r="T13" s="140">
        <v>43743</v>
      </c>
      <c r="U13" s="133">
        <f>V13+W13+X13</f>
        <v>265932.07217</v>
      </c>
      <c r="V13" s="133">
        <v>175480.6409</v>
      </c>
      <c r="W13" s="133">
        <v>90451.431270000001</v>
      </c>
      <c r="X13" s="136"/>
      <c r="Y13" s="120">
        <f t="shared" si="1"/>
        <v>266465.59999999998</v>
      </c>
      <c r="Z13" s="120">
        <v>175832.7</v>
      </c>
      <c r="AA13" s="120"/>
      <c r="AB13" s="120">
        <v>90632.9</v>
      </c>
      <c r="AC13" s="104"/>
    </row>
    <row r="14" spans="1:29" ht="56.25" customHeight="1" x14ac:dyDescent="0.3">
      <c r="A14" s="115">
        <v>6</v>
      </c>
      <c r="B14" s="128" t="s">
        <v>268</v>
      </c>
      <c r="C14" s="129" t="s">
        <v>261</v>
      </c>
      <c r="D14" s="115" t="s">
        <v>250</v>
      </c>
      <c r="E14" s="129" t="s">
        <v>251</v>
      </c>
      <c r="F14" s="118" t="s">
        <v>252</v>
      </c>
      <c r="G14" s="130">
        <v>1</v>
      </c>
      <c r="H14" s="130">
        <v>1</v>
      </c>
      <c r="I14" s="131" t="s">
        <v>269</v>
      </c>
      <c r="J14" s="131" t="s">
        <v>167</v>
      </c>
      <c r="K14" s="133">
        <v>57657.5</v>
      </c>
      <c r="L14" s="133">
        <v>41513.4</v>
      </c>
      <c r="M14" s="133">
        <v>42507.018810000001</v>
      </c>
      <c r="N14" s="117" t="s">
        <v>270</v>
      </c>
      <c r="O14" s="133">
        <f>K14-L14</f>
        <v>16144.099999999999</v>
      </c>
      <c r="P14" s="141">
        <v>2</v>
      </c>
      <c r="Q14" s="133">
        <v>2</v>
      </c>
      <c r="R14" s="133">
        <v>42507.018810000001</v>
      </c>
      <c r="S14" s="138">
        <f>M14/R14</f>
        <v>1</v>
      </c>
      <c r="T14" s="140">
        <v>43768</v>
      </c>
      <c r="U14" s="133">
        <f t="shared" si="0"/>
        <v>42507.018810000001</v>
      </c>
      <c r="V14" s="133">
        <v>41513.4</v>
      </c>
      <c r="W14" s="133">
        <v>993.61881000000005</v>
      </c>
      <c r="X14" s="136"/>
      <c r="Y14" s="120">
        <f t="shared" si="1"/>
        <v>42513.4</v>
      </c>
      <c r="Z14" s="120">
        <v>41513.4</v>
      </c>
      <c r="AA14" s="120"/>
      <c r="AB14" s="120">
        <v>1000</v>
      </c>
      <c r="AC14" s="104"/>
    </row>
    <row r="15" spans="1:29" ht="56.25" customHeight="1" x14ac:dyDescent="0.3">
      <c r="A15" s="115">
        <v>7</v>
      </c>
      <c r="B15" s="128" t="s">
        <v>271</v>
      </c>
      <c r="C15" s="129" t="s">
        <v>261</v>
      </c>
      <c r="D15" s="115" t="s">
        <v>250</v>
      </c>
      <c r="E15" s="129" t="s">
        <v>251</v>
      </c>
      <c r="F15" s="118" t="s">
        <v>252</v>
      </c>
      <c r="G15" s="130">
        <v>1</v>
      </c>
      <c r="H15" s="130">
        <v>1</v>
      </c>
      <c r="I15" s="131" t="s">
        <v>272</v>
      </c>
      <c r="J15" s="131" t="s">
        <v>167</v>
      </c>
      <c r="K15" s="133">
        <v>179717.55</v>
      </c>
      <c r="L15" s="133">
        <v>178818.96225000001</v>
      </c>
      <c r="M15" s="133">
        <v>179457.13066</v>
      </c>
      <c r="N15" s="117" t="s">
        <v>255</v>
      </c>
      <c r="O15" s="133">
        <v>898.59</v>
      </c>
      <c r="P15" s="139">
        <v>4.0270000000000001</v>
      </c>
      <c r="Q15" s="133">
        <v>4.0270000000000001</v>
      </c>
      <c r="R15" s="133">
        <v>179457.13066</v>
      </c>
      <c r="S15" s="138">
        <v>1</v>
      </c>
      <c r="T15" s="140">
        <v>43768</v>
      </c>
      <c r="U15" s="133">
        <f t="shared" si="0"/>
        <v>179457.13066</v>
      </c>
      <c r="V15" s="133">
        <v>6564.4</v>
      </c>
      <c r="W15" s="133">
        <f>171128.6+1764.13066</f>
        <v>172892.73066</v>
      </c>
      <c r="X15" s="136"/>
      <c r="Y15" s="120">
        <f t="shared" si="1"/>
        <v>226147.20000000001</v>
      </c>
      <c r="Z15" s="120">
        <v>6564.4</v>
      </c>
      <c r="AA15" s="120">
        <v>171128.6</v>
      </c>
      <c r="AB15" s="120">
        <v>48454.2</v>
      </c>
      <c r="AC15" s="104"/>
    </row>
    <row r="16" spans="1:29" ht="56.25" customHeight="1" x14ac:dyDescent="0.3">
      <c r="A16" s="115">
        <v>8</v>
      </c>
      <c r="B16" s="128" t="s">
        <v>273</v>
      </c>
      <c r="C16" s="129" t="s">
        <v>261</v>
      </c>
      <c r="D16" s="115" t="s">
        <v>250</v>
      </c>
      <c r="E16" s="129" t="s">
        <v>251</v>
      </c>
      <c r="F16" s="118" t="s">
        <v>252</v>
      </c>
      <c r="G16" s="130">
        <v>1</v>
      </c>
      <c r="H16" s="130">
        <v>1</v>
      </c>
      <c r="I16" s="132" t="s">
        <v>274</v>
      </c>
      <c r="J16" s="132" t="s">
        <v>167</v>
      </c>
      <c r="K16" s="133">
        <v>5963.57</v>
      </c>
      <c r="L16" s="133">
        <v>5963.57</v>
      </c>
      <c r="M16" s="133">
        <v>5820.8239999999996</v>
      </c>
      <c r="N16" s="117" t="s">
        <v>275</v>
      </c>
      <c r="O16" s="133"/>
      <c r="P16" s="139">
        <v>0.19600000000000001</v>
      </c>
      <c r="Q16" s="133">
        <v>0.19600000000000001</v>
      </c>
      <c r="R16" s="133">
        <v>5820.8239999999996</v>
      </c>
      <c r="S16" s="138">
        <v>1</v>
      </c>
      <c r="T16" s="140">
        <v>43739</v>
      </c>
      <c r="U16" s="133">
        <f t="shared" si="0"/>
        <v>5820.8239999999996</v>
      </c>
      <c r="V16" s="133"/>
      <c r="W16" s="133">
        <v>5820.8239999999996</v>
      </c>
      <c r="X16" s="136"/>
      <c r="Y16" s="120">
        <f t="shared" si="1"/>
        <v>5820.9</v>
      </c>
      <c r="Z16" s="120">
        <f t="shared" ref="Z16:Z21" si="2">M16-U16</f>
        <v>0</v>
      </c>
      <c r="AA16" s="120">
        <v>5820.9</v>
      </c>
      <c r="AB16" s="120"/>
      <c r="AC16" s="104"/>
    </row>
    <row r="17" spans="1:29" ht="56.25" customHeight="1" x14ac:dyDescent="0.3">
      <c r="A17" s="115">
        <v>9</v>
      </c>
      <c r="B17" s="128" t="s">
        <v>276</v>
      </c>
      <c r="C17" s="129" t="s">
        <v>261</v>
      </c>
      <c r="D17" s="115" t="s">
        <v>250</v>
      </c>
      <c r="E17" s="129" t="s">
        <v>251</v>
      </c>
      <c r="F17" s="118" t="s">
        <v>277</v>
      </c>
      <c r="G17" s="130">
        <v>1</v>
      </c>
      <c r="H17" s="130">
        <v>1</v>
      </c>
      <c r="I17" s="131" t="s">
        <v>278</v>
      </c>
      <c r="J17" s="131" t="s">
        <v>279</v>
      </c>
      <c r="K17" s="133">
        <v>7692.59</v>
      </c>
      <c r="L17" s="133">
        <v>6500</v>
      </c>
      <c r="M17" s="133">
        <v>6028.1862300000003</v>
      </c>
      <c r="N17" s="117" t="s">
        <v>280</v>
      </c>
      <c r="O17" s="133">
        <f>K17-L17</f>
        <v>1192.5900000000001</v>
      </c>
      <c r="P17" s="133">
        <v>7.0000000000000007E-2</v>
      </c>
      <c r="Q17" s="133">
        <v>7.0000000000000007E-2</v>
      </c>
      <c r="R17" s="133">
        <v>6028.1862300000003</v>
      </c>
      <c r="S17" s="138">
        <f>R17/M17</f>
        <v>1</v>
      </c>
      <c r="T17" s="140">
        <v>43723</v>
      </c>
      <c r="U17" s="133">
        <f t="shared" si="0"/>
        <v>6028.1862300000003</v>
      </c>
      <c r="V17" s="133"/>
      <c r="W17" s="133">
        <v>6028.1862300000003</v>
      </c>
      <c r="X17" s="136"/>
      <c r="Y17" s="120">
        <f t="shared" si="1"/>
        <v>6500</v>
      </c>
      <c r="Z17" s="120">
        <f t="shared" si="2"/>
        <v>0</v>
      </c>
      <c r="AA17" s="120">
        <v>6500</v>
      </c>
      <c r="AB17" s="120"/>
      <c r="AC17" s="104"/>
    </row>
    <row r="18" spans="1:29" ht="56.25" customHeight="1" x14ac:dyDescent="0.3">
      <c r="A18" s="115">
        <v>10</v>
      </c>
      <c r="B18" s="128" t="s">
        <v>281</v>
      </c>
      <c r="C18" s="129" t="s">
        <v>282</v>
      </c>
      <c r="D18" s="115" t="s">
        <v>250</v>
      </c>
      <c r="E18" s="129" t="s">
        <v>251</v>
      </c>
      <c r="F18" s="118" t="s">
        <v>252</v>
      </c>
      <c r="G18" s="130">
        <v>1</v>
      </c>
      <c r="H18" s="130">
        <v>1</v>
      </c>
      <c r="I18" s="131" t="s">
        <v>283</v>
      </c>
      <c r="J18" s="131" t="s">
        <v>164</v>
      </c>
      <c r="K18" s="133">
        <v>15561</v>
      </c>
      <c r="L18" s="133">
        <v>15561</v>
      </c>
      <c r="M18" s="133">
        <v>15368.39</v>
      </c>
      <c r="N18" s="117" t="s">
        <v>263</v>
      </c>
      <c r="O18" s="133"/>
      <c r="P18" s="133"/>
      <c r="Q18" s="133"/>
      <c r="R18" s="133">
        <f>14504.70998+863.67648</f>
        <v>15368.38646</v>
      </c>
      <c r="S18" s="134">
        <v>1</v>
      </c>
      <c r="T18" s="135">
        <v>43748</v>
      </c>
      <c r="U18" s="133">
        <f t="shared" si="0"/>
        <v>15368.38646</v>
      </c>
      <c r="V18" s="133"/>
      <c r="W18" s="133">
        <v>15368.38646</v>
      </c>
      <c r="X18" s="136"/>
      <c r="Y18" s="120">
        <f t="shared" si="1"/>
        <v>15368.403539999999</v>
      </c>
      <c r="Z18" s="120">
        <f t="shared" si="2"/>
        <v>3.5399999997025589E-3</v>
      </c>
      <c r="AA18" s="120">
        <v>15368.4</v>
      </c>
      <c r="AB18" s="120"/>
      <c r="AC18" s="104"/>
    </row>
    <row r="19" spans="1:29" ht="56.25" customHeight="1" x14ac:dyDescent="0.3">
      <c r="A19" s="115">
        <v>11</v>
      </c>
      <c r="B19" s="128" t="s">
        <v>284</v>
      </c>
      <c r="C19" s="129" t="s">
        <v>282</v>
      </c>
      <c r="D19" s="115" t="s">
        <v>250</v>
      </c>
      <c r="E19" s="129" t="s">
        <v>251</v>
      </c>
      <c r="F19" s="118" t="s">
        <v>252</v>
      </c>
      <c r="G19" s="130">
        <v>1</v>
      </c>
      <c r="H19" s="130">
        <v>1</v>
      </c>
      <c r="I19" s="132" t="s">
        <v>285</v>
      </c>
      <c r="J19" s="131" t="s">
        <v>286</v>
      </c>
      <c r="K19" s="133">
        <v>82096</v>
      </c>
      <c r="L19" s="133">
        <v>82096</v>
      </c>
      <c r="M19" s="133">
        <v>80053.271559999994</v>
      </c>
      <c r="N19" s="117" t="s">
        <v>263</v>
      </c>
      <c r="O19" s="133"/>
      <c r="P19" s="133"/>
      <c r="Q19" s="133">
        <v>1.3959999999999999</v>
      </c>
      <c r="R19" s="133">
        <f>7209.67156+72843.6</f>
        <v>80053.271560000008</v>
      </c>
      <c r="S19" s="138">
        <v>1</v>
      </c>
      <c r="T19" s="135">
        <v>43671</v>
      </c>
      <c r="U19" s="133">
        <f t="shared" si="0"/>
        <v>80053.271560000008</v>
      </c>
      <c r="V19" s="133"/>
      <c r="W19" s="133">
        <f>72843.6+7209.67156</f>
        <v>80053.271560000008</v>
      </c>
      <c r="X19" s="136"/>
      <c r="Y19" s="120">
        <f t="shared" si="1"/>
        <v>7209.7</v>
      </c>
      <c r="Z19" s="120">
        <f t="shared" si="2"/>
        <v>0</v>
      </c>
      <c r="AA19" s="120">
        <v>7209.7</v>
      </c>
      <c r="AB19" s="120"/>
      <c r="AC19" s="104"/>
    </row>
    <row r="20" spans="1:29" ht="56.25" customHeight="1" x14ac:dyDescent="0.3">
      <c r="A20" s="115">
        <v>12</v>
      </c>
      <c r="B20" s="128" t="s">
        <v>287</v>
      </c>
      <c r="C20" s="129" t="s">
        <v>282</v>
      </c>
      <c r="D20" s="115" t="s">
        <v>250</v>
      </c>
      <c r="E20" s="129" t="s">
        <v>251</v>
      </c>
      <c r="F20" s="118" t="s">
        <v>252</v>
      </c>
      <c r="G20" s="130">
        <v>1</v>
      </c>
      <c r="H20" s="130">
        <v>1</v>
      </c>
      <c r="I20" s="131" t="s">
        <v>288</v>
      </c>
      <c r="J20" s="132" t="s">
        <v>289</v>
      </c>
      <c r="K20" s="133">
        <v>65000</v>
      </c>
      <c r="L20" s="133">
        <v>58825</v>
      </c>
      <c r="M20" s="133">
        <v>58825</v>
      </c>
      <c r="N20" s="136"/>
      <c r="O20" s="133">
        <v>6175</v>
      </c>
      <c r="P20" s="133"/>
      <c r="Q20" s="133"/>
      <c r="R20" s="133">
        <f>5375.881</f>
        <v>5375.8810000000003</v>
      </c>
      <c r="S20" s="134">
        <v>0.25</v>
      </c>
      <c r="T20" s="135">
        <v>44063</v>
      </c>
      <c r="U20" s="133">
        <f t="shared" si="0"/>
        <v>5375.8810000000003</v>
      </c>
      <c r="V20" s="133"/>
      <c r="W20" s="133">
        <v>5375.8810000000003</v>
      </c>
      <c r="X20" s="136"/>
      <c r="Y20" s="120">
        <f t="shared" si="1"/>
        <v>5375.9</v>
      </c>
      <c r="Z20" s="120"/>
      <c r="AA20" s="120">
        <v>5375.9</v>
      </c>
      <c r="AB20" s="120"/>
      <c r="AC20" s="104"/>
    </row>
    <row r="21" spans="1:29" ht="56.25" customHeight="1" x14ac:dyDescent="0.3">
      <c r="A21" s="115">
        <v>13</v>
      </c>
      <c r="B21" s="128" t="s">
        <v>290</v>
      </c>
      <c r="C21" s="129" t="s">
        <v>282</v>
      </c>
      <c r="D21" s="115" t="s">
        <v>250</v>
      </c>
      <c r="E21" s="129" t="s">
        <v>251</v>
      </c>
      <c r="F21" s="118" t="s">
        <v>252</v>
      </c>
      <c r="G21" s="130">
        <v>1</v>
      </c>
      <c r="H21" s="130">
        <v>1</v>
      </c>
      <c r="I21" s="132" t="s">
        <v>291</v>
      </c>
      <c r="J21" s="132" t="s">
        <v>160</v>
      </c>
      <c r="K21" s="133">
        <v>115418.7</v>
      </c>
      <c r="L21" s="133">
        <v>102722.643</v>
      </c>
      <c r="M21" s="133">
        <v>98158.36722</v>
      </c>
      <c r="N21" s="117" t="s">
        <v>292</v>
      </c>
      <c r="O21" s="133">
        <v>12696.06</v>
      </c>
      <c r="P21" s="133">
        <v>3.2229999999999999</v>
      </c>
      <c r="Q21" s="133">
        <v>3.2229999999999999</v>
      </c>
      <c r="R21" s="133">
        <f>29391.18222+68767.185</f>
        <v>98158.36722</v>
      </c>
      <c r="S21" s="138">
        <v>1</v>
      </c>
      <c r="T21" s="135">
        <v>43671</v>
      </c>
      <c r="U21" s="133">
        <f t="shared" si="0"/>
        <v>98158.36722</v>
      </c>
      <c r="V21" s="133"/>
      <c r="W21" s="133">
        <f>68767.185+29391.18222</f>
        <v>98158.36722</v>
      </c>
      <c r="X21" s="136"/>
      <c r="Y21" s="120">
        <f t="shared" si="1"/>
        <v>29391.200000000001</v>
      </c>
      <c r="Z21" s="120">
        <f t="shared" si="2"/>
        <v>0</v>
      </c>
      <c r="AA21" s="120">
        <v>29391.200000000001</v>
      </c>
      <c r="AB21" s="120"/>
      <c r="AC21" s="104"/>
    </row>
    <row r="22" spans="1:29" ht="56.25" customHeight="1" x14ac:dyDescent="0.3">
      <c r="A22" s="115">
        <v>14</v>
      </c>
      <c r="B22" s="128" t="s">
        <v>293</v>
      </c>
      <c r="C22" s="129" t="s">
        <v>282</v>
      </c>
      <c r="D22" s="115" t="s">
        <v>250</v>
      </c>
      <c r="E22" s="129" t="s">
        <v>251</v>
      </c>
      <c r="F22" s="118" t="s">
        <v>252</v>
      </c>
      <c r="G22" s="130">
        <v>1</v>
      </c>
      <c r="H22" s="130">
        <v>1</v>
      </c>
      <c r="I22" s="132" t="s">
        <v>294</v>
      </c>
      <c r="J22" s="132" t="s">
        <v>189</v>
      </c>
      <c r="K22" s="133">
        <v>30000</v>
      </c>
      <c r="L22" s="133">
        <v>27750</v>
      </c>
      <c r="M22" s="133">
        <v>26493.64</v>
      </c>
      <c r="N22" s="117" t="s">
        <v>263</v>
      </c>
      <c r="O22" s="133">
        <v>2250</v>
      </c>
      <c r="P22" s="133">
        <v>0.78</v>
      </c>
      <c r="Q22" s="133">
        <v>0.78</v>
      </c>
      <c r="R22" s="133">
        <v>26493.642309999999</v>
      </c>
      <c r="S22" s="138">
        <v>1</v>
      </c>
      <c r="T22" s="142">
        <v>43677</v>
      </c>
      <c r="U22" s="133">
        <f t="shared" si="0"/>
        <v>26493.642310000003</v>
      </c>
      <c r="V22" s="133"/>
      <c r="W22" s="133">
        <f>23550.02918+2943.61313</f>
        <v>26493.642310000003</v>
      </c>
      <c r="X22" s="136"/>
      <c r="Y22" s="120">
        <f t="shared" si="1"/>
        <v>2943.7</v>
      </c>
      <c r="Z22" s="120"/>
      <c r="AA22" s="120">
        <v>2943.7</v>
      </c>
      <c r="AB22" s="120"/>
      <c r="AC22" s="104"/>
    </row>
    <row r="23" spans="1:29" ht="56.25" customHeight="1" x14ac:dyDescent="0.3">
      <c r="A23" s="115">
        <v>15</v>
      </c>
      <c r="B23" s="128" t="s">
        <v>295</v>
      </c>
      <c r="C23" s="129" t="s">
        <v>282</v>
      </c>
      <c r="D23" s="115" t="s">
        <v>250</v>
      </c>
      <c r="E23" s="129" t="s">
        <v>251</v>
      </c>
      <c r="F23" s="118" t="s">
        <v>252</v>
      </c>
      <c r="G23" s="130">
        <v>1</v>
      </c>
      <c r="H23" s="130">
        <v>1</v>
      </c>
      <c r="I23" s="131" t="s">
        <v>296</v>
      </c>
      <c r="J23" s="131" t="s">
        <v>167</v>
      </c>
      <c r="K23" s="133">
        <v>77372.399999999994</v>
      </c>
      <c r="L23" s="133">
        <v>76985.538</v>
      </c>
      <c r="M23" s="133">
        <v>74306.45</v>
      </c>
      <c r="N23" s="117" t="s">
        <v>297</v>
      </c>
      <c r="O23" s="133">
        <v>386.86</v>
      </c>
      <c r="P23" s="133"/>
      <c r="Q23" s="133"/>
      <c r="R23" s="133">
        <v>13373.198</v>
      </c>
      <c r="S23" s="134">
        <v>0.7</v>
      </c>
      <c r="T23" s="135">
        <v>44150</v>
      </c>
      <c r="U23" s="133">
        <f t="shared" si="0"/>
        <v>13373.198</v>
      </c>
      <c r="V23" s="133">
        <v>12373.2</v>
      </c>
      <c r="W23" s="133">
        <v>999.99800000000005</v>
      </c>
      <c r="X23" s="136"/>
      <c r="Y23" s="120">
        <f t="shared" si="1"/>
        <v>74027.3</v>
      </c>
      <c r="Z23" s="120">
        <v>12373.2</v>
      </c>
      <c r="AA23" s="120">
        <v>61654.1</v>
      </c>
      <c r="AB23" s="120"/>
      <c r="AC23" s="104"/>
    </row>
    <row r="24" spans="1:29" ht="56.25" customHeight="1" x14ac:dyDescent="0.3">
      <c r="A24" s="115">
        <v>16</v>
      </c>
      <c r="B24" s="128" t="s">
        <v>298</v>
      </c>
      <c r="C24" s="129" t="s">
        <v>282</v>
      </c>
      <c r="D24" s="115" t="s">
        <v>250</v>
      </c>
      <c r="E24" s="129" t="s">
        <v>251</v>
      </c>
      <c r="F24" s="118" t="s">
        <v>252</v>
      </c>
      <c r="G24" s="130">
        <v>1</v>
      </c>
      <c r="H24" s="130">
        <v>1</v>
      </c>
      <c r="I24" s="131" t="s">
        <v>299</v>
      </c>
      <c r="J24" s="131" t="s">
        <v>286</v>
      </c>
      <c r="K24" s="133">
        <v>192285.32</v>
      </c>
      <c r="L24" s="133">
        <v>192285.32</v>
      </c>
      <c r="M24" s="133">
        <v>197259.86485000001</v>
      </c>
      <c r="N24" s="117" t="s">
        <v>263</v>
      </c>
      <c r="O24" s="133"/>
      <c r="P24" s="133">
        <v>5.0679999999999996</v>
      </c>
      <c r="Q24" s="133">
        <v>5.0679999999999996</v>
      </c>
      <c r="R24" s="133">
        <v>197259.86485000001</v>
      </c>
      <c r="S24" s="134">
        <v>1</v>
      </c>
      <c r="T24" s="135">
        <v>43784</v>
      </c>
      <c r="U24" s="133">
        <f t="shared" si="0"/>
        <v>197259.86485000001</v>
      </c>
      <c r="V24" s="133">
        <v>108968</v>
      </c>
      <c r="W24" s="133">
        <v>88291.864849999998</v>
      </c>
      <c r="X24" s="136"/>
      <c r="Y24" s="120">
        <f>Z24+AA24+AB24</f>
        <v>197654.19999999998</v>
      </c>
      <c r="Z24" s="120">
        <v>108968</v>
      </c>
      <c r="AA24" s="120">
        <v>88485.4</v>
      </c>
      <c r="AB24" s="120">
        <v>200.8</v>
      </c>
      <c r="AC24" s="104"/>
    </row>
    <row r="25" spans="1:29" ht="56.25" customHeight="1" x14ac:dyDescent="0.3">
      <c r="A25" s="115">
        <v>17</v>
      </c>
      <c r="B25" s="128" t="s">
        <v>300</v>
      </c>
      <c r="C25" s="129" t="s">
        <v>282</v>
      </c>
      <c r="D25" s="115" t="s">
        <v>250</v>
      </c>
      <c r="E25" s="129" t="s">
        <v>251</v>
      </c>
      <c r="F25" s="118" t="s">
        <v>252</v>
      </c>
      <c r="G25" s="130">
        <v>1</v>
      </c>
      <c r="H25" s="130">
        <v>1</v>
      </c>
      <c r="I25" s="131" t="s">
        <v>301</v>
      </c>
      <c r="J25" s="131" t="s">
        <v>167</v>
      </c>
      <c r="K25" s="133">
        <v>35776.83</v>
      </c>
      <c r="L25" s="133">
        <v>35597.945849999996</v>
      </c>
      <c r="M25" s="133">
        <v>31861.224900000001</v>
      </c>
      <c r="N25" s="117"/>
      <c r="O25" s="133">
        <v>178.88</v>
      </c>
      <c r="P25" s="133">
        <v>0.6</v>
      </c>
      <c r="Q25" s="133">
        <v>0.62346999999999997</v>
      </c>
      <c r="R25" s="133">
        <f>31861224.9/1000</f>
        <v>31861.224899999997</v>
      </c>
      <c r="S25" s="134">
        <v>1</v>
      </c>
      <c r="T25" s="135">
        <v>43748</v>
      </c>
      <c r="U25" s="133">
        <f t="shared" si="0"/>
        <v>31861.224900000001</v>
      </c>
      <c r="V25" s="133">
        <v>31861.224900000001</v>
      </c>
      <c r="W25" s="133"/>
      <c r="X25" s="136"/>
      <c r="Y25" s="120">
        <f t="shared" si="1"/>
        <v>35598</v>
      </c>
      <c r="Z25" s="120">
        <v>34598</v>
      </c>
      <c r="AA25" s="120">
        <v>1000</v>
      </c>
      <c r="AB25" s="120"/>
      <c r="AC25" s="104"/>
    </row>
    <row r="26" spans="1:29" ht="51" customHeight="1" x14ac:dyDescent="0.3">
      <c r="A26" s="115">
        <v>18</v>
      </c>
      <c r="B26" s="128" t="s">
        <v>302</v>
      </c>
      <c r="C26" s="129" t="s">
        <v>282</v>
      </c>
      <c r="D26" s="115" t="s">
        <v>250</v>
      </c>
      <c r="E26" s="129" t="s">
        <v>251</v>
      </c>
      <c r="F26" s="118" t="s">
        <v>252</v>
      </c>
      <c r="G26" s="130">
        <v>1</v>
      </c>
      <c r="H26" s="130">
        <v>1</v>
      </c>
      <c r="I26" s="131" t="s">
        <v>303</v>
      </c>
      <c r="J26" s="131" t="s">
        <v>167</v>
      </c>
      <c r="K26" s="133">
        <v>259914.4</v>
      </c>
      <c r="L26" s="133">
        <v>259914.4</v>
      </c>
      <c r="M26" s="133">
        <v>251737.81223000001</v>
      </c>
      <c r="N26" s="117" t="s">
        <v>263</v>
      </c>
      <c r="O26" s="133"/>
      <c r="P26" s="133">
        <v>5</v>
      </c>
      <c r="Q26" s="133">
        <v>5.0350000000000001</v>
      </c>
      <c r="R26" s="133">
        <v>251737.81223000001</v>
      </c>
      <c r="S26" s="134">
        <v>1</v>
      </c>
      <c r="T26" s="135">
        <v>43739</v>
      </c>
      <c r="U26" s="133">
        <f t="shared" si="0"/>
        <v>251737.81223000001</v>
      </c>
      <c r="V26" s="133">
        <v>249276</v>
      </c>
      <c r="W26" s="133">
        <v>2461.81223</v>
      </c>
      <c r="X26" s="136"/>
      <c r="Y26" s="120">
        <f t="shared" si="1"/>
        <v>251737.9</v>
      </c>
      <c r="Z26" s="120">
        <v>249276</v>
      </c>
      <c r="AA26" s="120">
        <v>2461.9</v>
      </c>
      <c r="AB26" s="120"/>
      <c r="AC26" s="104"/>
    </row>
    <row r="27" spans="1:29" ht="51" customHeight="1" x14ac:dyDescent="0.3">
      <c r="A27" s="115">
        <v>19</v>
      </c>
      <c r="B27" s="128" t="s">
        <v>304</v>
      </c>
      <c r="C27" s="129" t="s">
        <v>282</v>
      </c>
      <c r="D27" s="115" t="s">
        <v>250</v>
      </c>
      <c r="E27" s="129" t="s">
        <v>251</v>
      </c>
      <c r="F27" s="118" t="s">
        <v>252</v>
      </c>
      <c r="G27" s="130">
        <v>1</v>
      </c>
      <c r="H27" s="130">
        <v>1</v>
      </c>
      <c r="I27" s="131" t="s">
        <v>305</v>
      </c>
      <c r="J27" s="131" t="s">
        <v>306</v>
      </c>
      <c r="K27" s="133">
        <v>103223</v>
      </c>
      <c r="L27" s="133">
        <v>102706.88499999999</v>
      </c>
      <c r="M27" s="133">
        <v>99720.22</v>
      </c>
      <c r="N27" s="117" t="s">
        <v>280</v>
      </c>
      <c r="O27" s="133">
        <v>516.11500000000001</v>
      </c>
      <c r="P27" s="133">
        <v>1.1399999999999999</v>
      </c>
      <c r="Q27" s="133">
        <v>1.1399999999999999</v>
      </c>
      <c r="R27" s="133">
        <v>99720.216220000002</v>
      </c>
      <c r="S27" s="134">
        <v>1</v>
      </c>
      <c r="T27" s="135">
        <v>43738</v>
      </c>
      <c r="U27" s="133">
        <f t="shared" si="0"/>
        <v>99720.216220000002</v>
      </c>
      <c r="V27" s="133">
        <v>99720.216220000002</v>
      </c>
      <c r="W27" s="133"/>
      <c r="X27" s="136"/>
      <c r="Y27" s="120">
        <f t="shared" si="1"/>
        <v>99720.3</v>
      </c>
      <c r="Z27" s="120">
        <v>99720.3</v>
      </c>
      <c r="AA27" s="120"/>
      <c r="AB27" s="120"/>
      <c r="AC27" s="104"/>
    </row>
    <row r="28" spans="1:29" ht="51" customHeight="1" x14ac:dyDescent="0.3">
      <c r="A28" s="115">
        <v>20</v>
      </c>
      <c r="B28" s="128" t="s">
        <v>307</v>
      </c>
      <c r="C28" s="129" t="s">
        <v>282</v>
      </c>
      <c r="D28" s="115" t="s">
        <v>250</v>
      </c>
      <c r="E28" s="129" t="s">
        <v>251</v>
      </c>
      <c r="F28" s="118" t="s">
        <v>252</v>
      </c>
      <c r="G28" s="130">
        <v>1</v>
      </c>
      <c r="H28" s="130">
        <v>1</v>
      </c>
      <c r="I28" s="131" t="s">
        <v>308</v>
      </c>
      <c r="J28" s="131" t="s">
        <v>156</v>
      </c>
      <c r="K28" s="133">
        <v>24259.14</v>
      </c>
      <c r="L28" s="133">
        <v>24259.14</v>
      </c>
      <c r="M28" s="133">
        <v>24126.239999999998</v>
      </c>
      <c r="N28" s="136"/>
      <c r="O28" s="133"/>
      <c r="P28" s="133">
        <v>0.4</v>
      </c>
      <c r="Q28" s="133">
        <v>0.44700000000000001</v>
      </c>
      <c r="R28" s="133">
        <f>23126.3+999.94</f>
        <v>24126.239999999998</v>
      </c>
      <c r="S28" s="134">
        <v>1</v>
      </c>
      <c r="T28" s="135">
        <v>44824</v>
      </c>
      <c r="U28" s="133">
        <f t="shared" si="0"/>
        <v>24126.239999999998</v>
      </c>
      <c r="V28" s="133">
        <v>23126.3</v>
      </c>
      <c r="W28" s="133">
        <v>999.94</v>
      </c>
      <c r="X28" s="136"/>
      <c r="Y28" s="120">
        <f t="shared" si="1"/>
        <v>24126.3</v>
      </c>
      <c r="Z28" s="120">
        <v>23126.3</v>
      </c>
      <c r="AA28" s="120">
        <v>1000</v>
      </c>
      <c r="AB28" s="120"/>
      <c r="AC28" s="104"/>
    </row>
    <row r="29" spans="1:29" ht="51" customHeight="1" x14ac:dyDescent="0.3">
      <c r="A29" s="115">
        <v>21</v>
      </c>
      <c r="B29" s="128" t="s">
        <v>309</v>
      </c>
      <c r="C29" s="129" t="s">
        <v>282</v>
      </c>
      <c r="D29" s="115" t="s">
        <v>250</v>
      </c>
      <c r="E29" s="129" t="s">
        <v>251</v>
      </c>
      <c r="F29" s="118" t="s">
        <v>252</v>
      </c>
      <c r="G29" s="130">
        <v>1</v>
      </c>
      <c r="H29" s="130">
        <v>1</v>
      </c>
      <c r="I29" s="131" t="s">
        <v>310</v>
      </c>
      <c r="J29" s="131" t="s">
        <v>164</v>
      </c>
      <c r="K29" s="133">
        <v>147750.95000000001</v>
      </c>
      <c r="L29" s="133">
        <v>147012.19524999999</v>
      </c>
      <c r="M29" s="133">
        <v>143600.90096</v>
      </c>
      <c r="N29" s="117" t="s">
        <v>280</v>
      </c>
      <c r="O29" s="133">
        <v>738.75</v>
      </c>
      <c r="P29" s="133">
        <v>3.8</v>
      </c>
      <c r="Q29" s="133">
        <v>3.7679999999999998</v>
      </c>
      <c r="R29" s="133">
        <f>136215.48626+7385.4147</f>
        <v>143600.90096</v>
      </c>
      <c r="S29" s="134">
        <v>1</v>
      </c>
      <c r="T29" s="135">
        <v>44094</v>
      </c>
      <c r="U29" s="133">
        <f t="shared" si="0"/>
        <v>143600.90096</v>
      </c>
      <c r="V29" s="133">
        <v>129614.5</v>
      </c>
      <c r="W29" s="133">
        <v>13986.400960000001</v>
      </c>
      <c r="X29" s="136"/>
      <c r="Y29" s="120">
        <f t="shared" si="1"/>
        <v>143601</v>
      </c>
      <c r="Z29" s="120">
        <v>129614.5</v>
      </c>
      <c r="AA29" s="120">
        <v>13986.5</v>
      </c>
      <c r="AB29" s="120"/>
      <c r="AC29" s="104"/>
    </row>
    <row r="30" spans="1:29" ht="51" customHeight="1" x14ac:dyDescent="0.3">
      <c r="A30" s="115">
        <v>22</v>
      </c>
      <c r="B30" s="128" t="s">
        <v>311</v>
      </c>
      <c r="C30" s="129" t="s">
        <v>282</v>
      </c>
      <c r="D30" s="115" t="s">
        <v>250</v>
      </c>
      <c r="E30" s="129" t="s">
        <v>251</v>
      </c>
      <c r="F30" s="118" t="s">
        <v>252</v>
      </c>
      <c r="G30" s="130">
        <v>1</v>
      </c>
      <c r="H30" s="130">
        <v>1</v>
      </c>
      <c r="I30" s="131" t="s">
        <v>312</v>
      </c>
      <c r="J30" s="131" t="s">
        <v>306</v>
      </c>
      <c r="K30" s="133">
        <v>24870.12</v>
      </c>
      <c r="L30" s="133">
        <v>24248.366999999998</v>
      </c>
      <c r="M30" s="133">
        <v>22667.468079999999</v>
      </c>
      <c r="N30" s="117" t="s">
        <v>313</v>
      </c>
      <c r="O30" s="133">
        <v>621.75</v>
      </c>
      <c r="P30" s="133">
        <v>0.64300000000000002</v>
      </c>
      <c r="Q30" s="133">
        <v>0.64300000000000002</v>
      </c>
      <c r="R30" s="133">
        <f>18408.9+4258.56808</f>
        <v>22667.468080000002</v>
      </c>
      <c r="S30" s="134">
        <v>1</v>
      </c>
      <c r="T30" s="135">
        <v>43723</v>
      </c>
      <c r="U30" s="133">
        <f t="shared" si="0"/>
        <v>22667.468080000002</v>
      </c>
      <c r="V30" s="133">
        <v>18408.900000000001</v>
      </c>
      <c r="W30" s="133">
        <v>4258.56808</v>
      </c>
      <c r="X30" s="136"/>
      <c r="Y30" s="120">
        <f t="shared" si="1"/>
        <v>24248.400000000001</v>
      </c>
      <c r="Z30" s="120">
        <v>18408.900000000001</v>
      </c>
      <c r="AA30" s="120">
        <v>5839.5</v>
      </c>
      <c r="AB30" s="120"/>
      <c r="AC30" s="104"/>
    </row>
    <row r="31" spans="1:29" ht="51" customHeight="1" x14ac:dyDescent="0.3">
      <c r="A31" s="115">
        <v>23</v>
      </c>
      <c r="B31" s="128" t="s">
        <v>314</v>
      </c>
      <c r="C31" s="129" t="s">
        <v>282</v>
      </c>
      <c r="D31" s="115" t="s">
        <v>250</v>
      </c>
      <c r="E31" s="129" t="s">
        <v>251</v>
      </c>
      <c r="F31" s="118" t="s">
        <v>252</v>
      </c>
      <c r="G31" s="130">
        <v>1</v>
      </c>
      <c r="H31" s="130">
        <v>1</v>
      </c>
      <c r="I31" s="132" t="s">
        <v>188</v>
      </c>
      <c r="J31" s="132" t="s">
        <v>189</v>
      </c>
      <c r="K31" s="133">
        <v>13407.9</v>
      </c>
      <c r="L31" s="133">
        <v>11128.557000000001</v>
      </c>
      <c r="M31" s="133">
        <v>6818.1182500000004</v>
      </c>
      <c r="N31" s="136"/>
      <c r="O31" s="133">
        <f>K31-L31</f>
        <v>2279.3429999999989</v>
      </c>
      <c r="P31" s="133"/>
      <c r="Q31" s="133"/>
      <c r="R31" s="133">
        <v>10664.62341</v>
      </c>
      <c r="S31" s="134">
        <v>1</v>
      </c>
      <c r="T31" s="135">
        <v>43697</v>
      </c>
      <c r="U31" s="133">
        <f t="shared" si="0"/>
        <v>6818.1182500000004</v>
      </c>
      <c r="V31" s="133"/>
      <c r="W31" s="133">
        <v>6818.1182500000004</v>
      </c>
      <c r="X31" s="136"/>
      <c r="Y31" s="120">
        <f t="shared" si="1"/>
        <v>11128.6</v>
      </c>
      <c r="Z31" s="120"/>
      <c r="AA31" s="120">
        <v>11128.6</v>
      </c>
      <c r="AB31" s="120"/>
      <c r="AC31" s="104"/>
    </row>
    <row r="32" spans="1:29" ht="51" customHeight="1" x14ac:dyDescent="0.3">
      <c r="A32" s="115">
        <v>24</v>
      </c>
      <c r="B32" s="128" t="s">
        <v>315</v>
      </c>
      <c r="C32" s="129" t="s">
        <v>282</v>
      </c>
      <c r="D32" s="115" t="s">
        <v>250</v>
      </c>
      <c r="E32" s="129" t="s">
        <v>251</v>
      </c>
      <c r="F32" s="118" t="s">
        <v>252</v>
      </c>
      <c r="G32" s="130">
        <v>1</v>
      </c>
      <c r="H32" s="130">
        <v>1</v>
      </c>
      <c r="I32" s="132" t="s">
        <v>316</v>
      </c>
      <c r="J32" s="132" t="s">
        <v>317</v>
      </c>
      <c r="K32" s="133">
        <v>6629.16</v>
      </c>
      <c r="L32" s="133">
        <v>6629.16</v>
      </c>
      <c r="M32" s="133">
        <v>6629.16</v>
      </c>
      <c r="N32" s="136"/>
      <c r="O32" s="133"/>
      <c r="P32" s="133"/>
      <c r="Q32" s="133"/>
      <c r="R32" s="133">
        <v>6629.16</v>
      </c>
      <c r="S32" s="134">
        <v>1</v>
      </c>
      <c r="T32" s="135">
        <v>42858</v>
      </c>
      <c r="U32" s="133">
        <f t="shared" si="0"/>
        <v>6629.16</v>
      </c>
      <c r="V32" s="133"/>
      <c r="W32" s="133">
        <v>6629.16</v>
      </c>
      <c r="X32" s="136"/>
      <c r="Y32" s="120">
        <f t="shared" si="1"/>
        <v>6629.2</v>
      </c>
      <c r="Z32" s="120"/>
      <c r="AA32" s="120">
        <v>6629.2</v>
      </c>
      <c r="AB32" s="120"/>
      <c r="AC32" s="104"/>
    </row>
    <row r="33" spans="1:29" ht="51" customHeight="1" x14ac:dyDescent="0.3">
      <c r="A33" s="115">
        <v>25</v>
      </c>
      <c r="B33" s="128" t="s">
        <v>318</v>
      </c>
      <c r="C33" s="129" t="s">
        <v>282</v>
      </c>
      <c r="D33" s="115" t="s">
        <v>250</v>
      </c>
      <c r="E33" s="129" t="s">
        <v>251</v>
      </c>
      <c r="F33" s="118" t="s">
        <v>252</v>
      </c>
      <c r="G33" s="130">
        <v>1</v>
      </c>
      <c r="H33" s="130">
        <v>1</v>
      </c>
      <c r="I33" s="132" t="s">
        <v>319</v>
      </c>
      <c r="J33" s="132" t="s">
        <v>306</v>
      </c>
      <c r="K33" s="133">
        <v>13421.53</v>
      </c>
      <c r="L33" s="133">
        <v>13085.991749999999</v>
      </c>
      <c r="M33" s="133">
        <v>12892.6059</v>
      </c>
      <c r="N33" s="117" t="s">
        <v>320</v>
      </c>
      <c r="O33" s="133">
        <f>K33-L33</f>
        <v>335.53825000000143</v>
      </c>
      <c r="P33" s="133"/>
      <c r="Q33" s="133"/>
      <c r="R33" s="133">
        <v>12892.6059</v>
      </c>
      <c r="S33" s="138">
        <v>1</v>
      </c>
      <c r="T33" s="135">
        <v>43671</v>
      </c>
      <c r="U33" s="133">
        <f t="shared" si="0"/>
        <v>12892.6059</v>
      </c>
      <c r="V33" s="133"/>
      <c r="W33" s="133">
        <v>12892.6059</v>
      </c>
      <c r="X33" s="136"/>
      <c r="Y33" s="120">
        <f t="shared" si="1"/>
        <v>12892.7</v>
      </c>
      <c r="Z33" s="120"/>
      <c r="AA33" s="120">
        <v>12892.7</v>
      </c>
      <c r="AB33" s="120"/>
      <c r="AC33" s="104"/>
    </row>
    <row r="34" spans="1:29" ht="51" customHeight="1" x14ac:dyDescent="0.3">
      <c r="A34" s="115">
        <v>26</v>
      </c>
      <c r="B34" s="128" t="s">
        <v>321</v>
      </c>
      <c r="C34" s="129" t="s">
        <v>282</v>
      </c>
      <c r="D34" s="115" t="s">
        <v>250</v>
      </c>
      <c r="E34" s="129" t="s">
        <v>251</v>
      </c>
      <c r="F34" s="118" t="s">
        <v>252</v>
      </c>
      <c r="G34" s="130">
        <v>1</v>
      </c>
      <c r="H34" s="130">
        <v>1</v>
      </c>
      <c r="I34" s="131" t="s">
        <v>322</v>
      </c>
      <c r="J34" s="131" t="s">
        <v>167</v>
      </c>
      <c r="K34" s="133">
        <v>10000</v>
      </c>
      <c r="L34" s="133">
        <v>10000</v>
      </c>
      <c r="M34" s="133">
        <v>9453.1516300000003</v>
      </c>
      <c r="N34" s="117" t="s">
        <v>313</v>
      </c>
      <c r="O34" s="133"/>
      <c r="P34" s="133"/>
      <c r="Q34" s="133"/>
      <c r="R34" s="133">
        <f>9453.15163</f>
        <v>9453.1516300000003</v>
      </c>
      <c r="S34" s="134">
        <v>1</v>
      </c>
      <c r="T34" s="135">
        <v>43733</v>
      </c>
      <c r="U34" s="133">
        <f t="shared" si="0"/>
        <v>9453.1516300000003</v>
      </c>
      <c r="V34" s="133"/>
      <c r="W34" s="133">
        <v>9453.1516300000003</v>
      </c>
      <c r="X34" s="136"/>
      <c r="Y34" s="120">
        <f t="shared" si="1"/>
        <v>9453.2000000000007</v>
      </c>
      <c r="Z34" s="120"/>
      <c r="AA34" s="120">
        <v>9453.2000000000007</v>
      </c>
      <c r="AB34" s="120"/>
      <c r="AC34" s="104"/>
    </row>
    <row r="35" spans="1:29" ht="51" customHeight="1" x14ac:dyDescent="0.3">
      <c r="A35" s="115">
        <v>27</v>
      </c>
      <c r="B35" s="128" t="s">
        <v>323</v>
      </c>
      <c r="C35" s="129" t="s">
        <v>282</v>
      </c>
      <c r="D35" s="115" t="s">
        <v>250</v>
      </c>
      <c r="E35" s="129" t="s">
        <v>251</v>
      </c>
      <c r="F35" s="118" t="s">
        <v>252</v>
      </c>
      <c r="G35" s="130">
        <v>1</v>
      </c>
      <c r="H35" s="130">
        <v>1</v>
      </c>
      <c r="I35" s="131" t="s">
        <v>324</v>
      </c>
      <c r="J35" s="131" t="s">
        <v>325</v>
      </c>
      <c r="K35" s="133">
        <v>11059.67</v>
      </c>
      <c r="L35" s="133">
        <v>9234.8244500000001</v>
      </c>
      <c r="M35" s="133">
        <v>9080.0499999999993</v>
      </c>
      <c r="N35" s="117" t="s">
        <v>320</v>
      </c>
      <c r="O35" s="133">
        <f>K35-L35</f>
        <v>1824.84555</v>
      </c>
      <c r="P35" s="133"/>
      <c r="Q35" s="133"/>
      <c r="R35" s="133">
        <v>9080.04817</v>
      </c>
      <c r="S35" s="134">
        <v>1</v>
      </c>
      <c r="T35" s="135">
        <v>43697</v>
      </c>
      <c r="U35" s="133">
        <f t="shared" si="0"/>
        <v>9080.04817</v>
      </c>
      <c r="V35" s="133"/>
      <c r="W35" s="133">
        <v>9080.04817</v>
      </c>
      <c r="X35" s="136"/>
      <c r="Y35" s="120">
        <f t="shared" si="1"/>
        <v>9080.1</v>
      </c>
      <c r="Z35" s="120"/>
      <c r="AA35" s="120">
        <v>9080.1</v>
      </c>
      <c r="AB35" s="120"/>
      <c r="AC35" s="104"/>
    </row>
    <row r="36" spans="1:29" ht="51" customHeight="1" x14ac:dyDescent="0.3">
      <c r="A36" s="115">
        <v>28</v>
      </c>
      <c r="B36" s="128" t="s">
        <v>326</v>
      </c>
      <c r="C36" s="129" t="s">
        <v>282</v>
      </c>
      <c r="D36" s="115" t="s">
        <v>250</v>
      </c>
      <c r="E36" s="129" t="s">
        <v>251</v>
      </c>
      <c r="F36" s="118" t="s">
        <v>252</v>
      </c>
      <c r="G36" s="130">
        <v>1</v>
      </c>
      <c r="H36" s="130">
        <v>1</v>
      </c>
      <c r="I36" s="143" t="s">
        <v>327</v>
      </c>
      <c r="J36" s="143" t="s">
        <v>328</v>
      </c>
      <c r="K36" s="133">
        <f>L36/0.995</f>
        <v>7718.39</v>
      </c>
      <c r="L36" s="133">
        <v>7679.7980500000003</v>
      </c>
      <c r="M36" s="133">
        <v>7479.1202800000001</v>
      </c>
      <c r="N36" s="117" t="s">
        <v>280</v>
      </c>
      <c r="O36" s="133">
        <f>K36-L36</f>
        <v>38.591949999999997</v>
      </c>
      <c r="P36" s="133"/>
      <c r="Q36" s="133"/>
      <c r="R36" s="133">
        <v>7479.1202800000001</v>
      </c>
      <c r="S36" s="134">
        <v>1</v>
      </c>
      <c r="T36" s="135">
        <v>43697</v>
      </c>
      <c r="U36" s="133">
        <f t="shared" si="0"/>
        <v>7479.1202800000001</v>
      </c>
      <c r="V36" s="133"/>
      <c r="W36" s="133">
        <v>7479.1202800000001</v>
      </c>
      <c r="X36" s="136"/>
      <c r="Y36" s="212">
        <f>Z36+AA36+AB36</f>
        <v>14503.2</v>
      </c>
      <c r="Z36" s="212"/>
      <c r="AA36" s="212">
        <v>14503.2</v>
      </c>
      <c r="AB36" s="212"/>
      <c r="AC36" s="104"/>
    </row>
    <row r="37" spans="1:29" ht="51" customHeight="1" x14ac:dyDescent="0.3">
      <c r="A37" s="115">
        <v>29</v>
      </c>
      <c r="B37" s="128" t="s">
        <v>326</v>
      </c>
      <c r="C37" s="129" t="s">
        <v>282</v>
      </c>
      <c r="D37" s="115" t="s">
        <v>250</v>
      </c>
      <c r="E37" s="129" t="s">
        <v>251</v>
      </c>
      <c r="F37" s="118" t="s">
        <v>252</v>
      </c>
      <c r="G37" s="130">
        <v>1</v>
      </c>
      <c r="H37" s="130">
        <v>1</v>
      </c>
      <c r="I37" s="144" t="s">
        <v>327</v>
      </c>
      <c r="J37" s="143" t="s">
        <v>328</v>
      </c>
      <c r="K37" s="133">
        <f>L37/0.995</f>
        <v>6857.65</v>
      </c>
      <c r="L37" s="133">
        <v>6823.36175</v>
      </c>
      <c r="M37" s="133">
        <v>6705.90859</v>
      </c>
      <c r="N37" s="117" t="s">
        <v>280</v>
      </c>
      <c r="O37" s="133">
        <f>K37-L37</f>
        <v>34.288249999999607</v>
      </c>
      <c r="P37" s="133"/>
      <c r="Q37" s="133"/>
      <c r="R37" s="133">
        <v>6705.90859</v>
      </c>
      <c r="S37" s="134">
        <v>1</v>
      </c>
      <c r="T37" s="135">
        <v>43697</v>
      </c>
      <c r="U37" s="133">
        <f t="shared" si="0"/>
        <v>6705.90859</v>
      </c>
      <c r="V37" s="133"/>
      <c r="W37" s="133">
        <v>6705.90859</v>
      </c>
      <c r="X37" s="136"/>
      <c r="Y37" s="213"/>
      <c r="Z37" s="213"/>
      <c r="AA37" s="213"/>
      <c r="AB37" s="213"/>
      <c r="AC37" s="104"/>
    </row>
    <row r="38" spans="1:29" ht="51" customHeight="1" x14ac:dyDescent="0.3">
      <c r="A38" s="115">
        <v>30</v>
      </c>
      <c r="B38" s="128" t="s">
        <v>329</v>
      </c>
      <c r="C38" s="129" t="s">
        <v>282</v>
      </c>
      <c r="D38" s="115" t="s">
        <v>250</v>
      </c>
      <c r="E38" s="129" t="s">
        <v>251</v>
      </c>
      <c r="F38" s="118" t="s">
        <v>252</v>
      </c>
      <c r="G38" s="130">
        <v>1</v>
      </c>
      <c r="H38" s="130">
        <v>1</v>
      </c>
      <c r="I38" s="131" t="s">
        <v>330</v>
      </c>
      <c r="J38" s="143" t="s">
        <v>164</v>
      </c>
      <c r="K38" s="133">
        <v>71422.36</v>
      </c>
      <c r="L38" s="133">
        <v>71422.36</v>
      </c>
      <c r="M38" s="133">
        <v>71422.36</v>
      </c>
      <c r="N38" s="136"/>
      <c r="O38" s="133"/>
      <c r="P38" s="133"/>
      <c r="Q38" s="133"/>
      <c r="R38" s="133">
        <v>28748.174790000001</v>
      </c>
      <c r="S38" s="134">
        <v>0.37</v>
      </c>
      <c r="T38" s="135">
        <v>44147</v>
      </c>
      <c r="U38" s="133">
        <f t="shared" si="0"/>
        <v>36861.790260000002</v>
      </c>
      <c r="V38" s="133"/>
      <c r="W38" s="133">
        <v>36861.790260000002</v>
      </c>
      <c r="X38" s="136"/>
      <c r="Y38" s="120">
        <f t="shared" si="1"/>
        <v>57418.400000000001</v>
      </c>
      <c r="Z38" s="120"/>
      <c r="AA38" s="120">
        <v>57418.400000000001</v>
      </c>
      <c r="AB38" s="120"/>
      <c r="AC38" s="104"/>
    </row>
    <row r="39" spans="1:29" ht="51" customHeight="1" x14ac:dyDescent="0.3">
      <c r="A39" s="115">
        <v>31</v>
      </c>
      <c r="B39" s="128" t="s">
        <v>331</v>
      </c>
      <c r="C39" s="129" t="s">
        <v>332</v>
      </c>
      <c r="D39" s="115" t="s">
        <v>250</v>
      </c>
      <c r="E39" s="129" t="s">
        <v>251</v>
      </c>
      <c r="F39" s="118" t="s">
        <v>252</v>
      </c>
      <c r="G39" s="130">
        <v>1</v>
      </c>
      <c r="H39" s="130">
        <v>1</v>
      </c>
      <c r="I39" s="131" t="s">
        <v>333</v>
      </c>
      <c r="J39" s="131" t="s">
        <v>334</v>
      </c>
      <c r="K39" s="133">
        <v>8455.36</v>
      </c>
      <c r="L39" s="133">
        <v>8413.0831999999991</v>
      </c>
      <c r="M39" s="133">
        <v>7650.88454</v>
      </c>
      <c r="N39" s="117" t="s">
        <v>335</v>
      </c>
      <c r="O39" s="133">
        <f>K39-L39</f>
        <v>42.276800000001458</v>
      </c>
      <c r="P39" s="133">
        <v>0.79200000000000004</v>
      </c>
      <c r="Q39" s="133">
        <v>0.79200000000000004</v>
      </c>
      <c r="R39" s="133">
        <v>7650.88454</v>
      </c>
      <c r="S39" s="134">
        <v>1</v>
      </c>
      <c r="T39" s="135">
        <v>43723</v>
      </c>
      <c r="U39" s="133">
        <f t="shared" si="0"/>
        <v>7650.88454</v>
      </c>
      <c r="V39" s="133">
        <v>7650.88454</v>
      </c>
      <c r="W39" s="133"/>
      <c r="X39" s="136"/>
      <c r="Y39" s="120">
        <f t="shared" si="1"/>
        <v>7650.9</v>
      </c>
      <c r="Z39" s="120">
        <v>7650.9</v>
      </c>
      <c r="AA39" s="120"/>
      <c r="AB39" s="120"/>
      <c r="AC39" s="104"/>
    </row>
    <row r="40" spans="1:29" ht="51" customHeight="1" x14ac:dyDescent="0.3">
      <c r="A40" s="115">
        <v>32</v>
      </c>
      <c r="B40" s="128" t="s">
        <v>336</v>
      </c>
      <c r="C40" s="129" t="s">
        <v>332</v>
      </c>
      <c r="D40" s="115" t="s">
        <v>250</v>
      </c>
      <c r="E40" s="129" t="s">
        <v>251</v>
      </c>
      <c r="F40" s="118" t="s">
        <v>252</v>
      </c>
      <c r="G40" s="130">
        <v>1</v>
      </c>
      <c r="H40" s="130">
        <v>1</v>
      </c>
      <c r="I40" s="131" t="s">
        <v>337</v>
      </c>
      <c r="J40" s="131" t="s">
        <v>306</v>
      </c>
      <c r="K40" s="133">
        <v>35336.620000000003</v>
      </c>
      <c r="L40" s="133">
        <v>35159.936900000001</v>
      </c>
      <c r="M40" s="133">
        <v>34762.03</v>
      </c>
      <c r="N40" s="117" t="s">
        <v>320</v>
      </c>
      <c r="O40" s="133">
        <f>K40-L40</f>
        <v>176.68310000000201</v>
      </c>
      <c r="P40" s="133">
        <v>3.6</v>
      </c>
      <c r="Q40" s="133">
        <v>3.5670000000000002</v>
      </c>
      <c r="R40" s="133">
        <f>19900+14862.03004</f>
        <v>34762.030039999998</v>
      </c>
      <c r="S40" s="134">
        <v>1</v>
      </c>
      <c r="T40" s="135">
        <v>43739</v>
      </c>
      <c r="U40" s="133">
        <f t="shared" si="0"/>
        <v>34762.030039999998</v>
      </c>
      <c r="V40" s="133">
        <v>34762.030039999998</v>
      </c>
      <c r="W40" s="133"/>
      <c r="X40" s="136"/>
      <c r="Y40" s="120">
        <f t="shared" si="1"/>
        <v>34762.1</v>
      </c>
      <c r="Z40" s="120">
        <v>34762.1</v>
      </c>
      <c r="AA40" s="120"/>
      <c r="AB40" s="120"/>
      <c r="AC40" s="104"/>
    </row>
    <row r="41" spans="1:29" ht="51" customHeight="1" x14ac:dyDescent="0.3">
      <c r="A41" s="115">
        <v>33</v>
      </c>
      <c r="B41" s="128" t="s">
        <v>338</v>
      </c>
      <c r="C41" s="129" t="s">
        <v>332</v>
      </c>
      <c r="D41" s="115" t="s">
        <v>250</v>
      </c>
      <c r="E41" s="129" t="s">
        <v>251</v>
      </c>
      <c r="F41" s="118" t="s">
        <v>252</v>
      </c>
      <c r="G41" s="130">
        <v>1</v>
      </c>
      <c r="H41" s="130">
        <v>1</v>
      </c>
      <c r="I41" s="131" t="s">
        <v>339</v>
      </c>
      <c r="J41" s="131" t="s">
        <v>167</v>
      </c>
      <c r="K41" s="133">
        <v>42942.76</v>
      </c>
      <c r="L41" s="133">
        <v>42513.332399999999</v>
      </c>
      <c r="M41" s="133">
        <v>41639.51</v>
      </c>
      <c r="N41" s="117" t="s">
        <v>340</v>
      </c>
      <c r="O41" s="133">
        <v>220</v>
      </c>
      <c r="P41" s="133">
        <v>4</v>
      </c>
      <c r="Q41" s="133">
        <v>4</v>
      </c>
      <c r="R41" s="133">
        <v>41638.019359999998</v>
      </c>
      <c r="S41" s="134">
        <v>1</v>
      </c>
      <c r="T41" s="135">
        <v>43784</v>
      </c>
      <c r="U41" s="133">
        <f t="shared" si="0"/>
        <v>41638.019359999998</v>
      </c>
      <c r="V41" s="133">
        <v>21780</v>
      </c>
      <c r="W41" s="133">
        <v>19858.019359999998</v>
      </c>
      <c r="X41" s="136"/>
      <c r="Y41" s="120">
        <f t="shared" si="1"/>
        <v>41639.599999999999</v>
      </c>
      <c r="Z41" s="120">
        <v>21780</v>
      </c>
      <c r="AA41" s="120">
        <v>19733.400000000001</v>
      </c>
      <c r="AB41" s="120">
        <v>126.2</v>
      </c>
      <c r="AC41" s="104"/>
    </row>
    <row r="42" spans="1:29" ht="51" customHeight="1" x14ac:dyDescent="0.3">
      <c r="A42" s="115">
        <v>34</v>
      </c>
      <c r="B42" s="128" t="s">
        <v>341</v>
      </c>
      <c r="C42" s="129" t="s">
        <v>332</v>
      </c>
      <c r="D42" s="115" t="s">
        <v>250</v>
      </c>
      <c r="E42" s="129" t="s">
        <v>251</v>
      </c>
      <c r="F42" s="118" t="s">
        <v>252</v>
      </c>
      <c r="G42" s="130">
        <v>1</v>
      </c>
      <c r="H42" s="130">
        <v>1</v>
      </c>
      <c r="I42" s="132" t="s">
        <v>342</v>
      </c>
      <c r="J42" s="132" t="s">
        <v>167</v>
      </c>
      <c r="K42" s="133">
        <v>299.51704000000001</v>
      </c>
      <c r="L42" s="133">
        <v>299.51704000000001</v>
      </c>
      <c r="M42" s="133">
        <v>299.51704000000001</v>
      </c>
      <c r="N42" s="136"/>
      <c r="O42" s="133"/>
      <c r="P42" s="133"/>
      <c r="Q42" s="133"/>
      <c r="R42" s="133">
        <v>299.51704000000001</v>
      </c>
      <c r="S42" s="138">
        <v>1</v>
      </c>
      <c r="T42" s="135">
        <v>43738</v>
      </c>
      <c r="U42" s="133">
        <f t="shared" si="0"/>
        <v>299.51704000000001</v>
      </c>
      <c r="V42" s="133"/>
      <c r="W42" s="133">
        <v>299.51704000000001</v>
      </c>
      <c r="X42" s="136"/>
      <c r="Y42" s="120">
        <f t="shared" si="1"/>
        <v>299.60000000000002</v>
      </c>
      <c r="Z42" s="120"/>
      <c r="AA42" s="120">
        <v>299.60000000000002</v>
      </c>
      <c r="AB42" s="120"/>
      <c r="AC42" s="104"/>
    </row>
    <row r="43" spans="1:29" ht="51" customHeight="1" x14ac:dyDescent="0.3">
      <c r="A43" s="115">
        <v>35</v>
      </c>
      <c r="B43" s="128" t="s">
        <v>343</v>
      </c>
      <c r="C43" s="129" t="s">
        <v>332</v>
      </c>
      <c r="D43" s="115" t="s">
        <v>250</v>
      </c>
      <c r="E43" s="129" t="s">
        <v>251</v>
      </c>
      <c r="F43" s="118" t="s">
        <v>252</v>
      </c>
      <c r="G43" s="130">
        <v>1</v>
      </c>
      <c r="H43" s="130">
        <v>1</v>
      </c>
      <c r="I43" s="131" t="s">
        <v>177</v>
      </c>
      <c r="J43" s="131" t="s">
        <v>156</v>
      </c>
      <c r="K43" s="133">
        <v>48300.77</v>
      </c>
      <c r="L43" s="133">
        <v>48059.266150000003</v>
      </c>
      <c r="M43" s="133">
        <v>48059.266150000003</v>
      </c>
      <c r="N43" s="117" t="s">
        <v>320</v>
      </c>
      <c r="O43" s="133">
        <f>23927.58-23807.9421</f>
        <v>119.63790000000154</v>
      </c>
      <c r="P43" s="133">
        <v>2.5</v>
      </c>
      <c r="Q43" s="133">
        <v>2.5</v>
      </c>
      <c r="R43" s="133">
        <v>23807.938559999999</v>
      </c>
      <c r="S43" s="134">
        <v>1</v>
      </c>
      <c r="T43" s="135">
        <v>43723</v>
      </c>
      <c r="U43" s="133">
        <f t="shared" si="0"/>
        <v>23807.938559999999</v>
      </c>
      <c r="V43" s="133">
        <v>22808</v>
      </c>
      <c r="W43" s="133">
        <v>999.93856000000005</v>
      </c>
      <c r="X43" s="136"/>
      <c r="Y43" s="120">
        <f t="shared" si="1"/>
        <v>23808</v>
      </c>
      <c r="Z43" s="120">
        <v>22808</v>
      </c>
      <c r="AA43" s="120">
        <v>1000</v>
      </c>
      <c r="AB43" s="120"/>
      <c r="AC43" s="104"/>
    </row>
    <row r="44" spans="1:29" ht="51" customHeight="1" x14ac:dyDescent="0.3">
      <c r="A44" s="115">
        <v>36</v>
      </c>
      <c r="B44" s="128" t="s">
        <v>344</v>
      </c>
      <c r="C44" s="129" t="s">
        <v>332</v>
      </c>
      <c r="D44" s="115" t="s">
        <v>250</v>
      </c>
      <c r="E44" s="129" t="s">
        <v>251</v>
      </c>
      <c r="F44" s="118" t="s">
        <v>252</v>
      </c>
      <c r="G44" s="130">
        <v>1</v>
      </c>
      <c r="H44" s="130">
        <v>1</v>
      </c>
      <c r="I44" s="131" t="s">
        <v>345</v>
      </c>
      <c r="J44" s="131" t="s">
        <v>167</v>
      </c>
      <c r="K44" s="145">
        <v>8564.4</v>
      </c>
      <c r="L44" s="145">
        <v>8564.4</v>
      </c>
      <c r="M44" s="133">
        <v>8293.9799600000006</v>
      </c>
      <c r="N44" s="117" t="s">
        <v>320</v>
      </c>
      <c r="O44" s="133"/>
      <c r="P44" s="133">
        <v>1</v>
      </c>
      <c r="Q44" s="133">
        <v>1</v>
      </c>
      <c r="R44" s="133">
        <v>8293.9799600000006</v>
      </c>
      <c r="S44" s="134">
        <v>1</v>
      </c>
      <c r="T44" s="135">
        <v>43723</v>
      </c>
      <c r="U44" s="133">
        <f t="shared" si="0"/>
        <v>8293.9799599999988</v>
      </c>
      <c r="V44" s="133">
        <v>8064.4</v>
      </c>
      <c r="W44" s="133">
        <v>229.57996</v>
      </c>
      <c r="X44" s="136"/>
      <c r="Y44" s="120">
        <f t="shared" si="1"/>
        <v>8294</v>
      </c>
      <c r="Z44" s="120">
        <v>8064.4</v>
      </c>
      <c r="AA44" s="120">
        <v>229.6</v>
      </c>
      <c r="AB44" s="120"/>
      <c r="AC44" s="104"/>
    </row>
    <row r="45" spans="1:29" ht="51" customHeight="1" x14ac:dyDescent="0.3">
      <c r="A45" s="115">
        <v>37</v>
      </c>
      <c r="B45" s="128" t="s">
        <v>346</v>
      </c>
      <c r="C45" s="129" t="s">
        <v>332</v>
      </c>
      <c r="D45" s="115" t="s">
        <v>250</v>
      </c>
      <c r="E45" s="129" t="s">
        <v>251</v>
      </c>
      <c r="F45" s="118" t="s">
        <v>252</v>
      </c>
      <c r="G45" s="130">
        <v>1</v>
      </c>
      <c r="H45" s="130">
        <v>1</v>
      </c>
      <c r="I45" s="131" t="s">
        <v>347</v>
      </c>
      <c r="J45" s="131" t="s">
        <v>348</v>
      </c>
      <c r="K45" s="133">
        <v>18500</v>
      </c>
      <c r="L45" s="133">
        <v>18500</v>
      </c>
      <c r="M45" s="133">
        <v>18500</v>
      </c>
      <c r="N45" s="136"/>
      <c r="O45" s="133"/>
      <c r="P45" s="133">
        <v>1.75</v>
      </c>
      <c r="Q45" s="133">
        <v>1.75</v>
      </c>
      <c r="R45" s="133">
        <v>18500</v>
      </c>
      <c r="S45" s="134">
        <v>1</v>
      </c>
      <c r="T45" s="135">
        <v>43692</v>
      </c>
      <c r="U45" s="133">
        <f t="shared" si="0"/>
        <v>18500</v>
      </c>
      <c r="V45" s="133">
        <v>18500</v>
      </c>
      <c r="W45" s="133"/>
      <c r="X45" s="136"/>
      <c r="Y45" s="120">
        <f t="shared" si="1"/>
        <v>18500</v>
      </c>
      <c r="Z45" s="120">
        <v>18500</v>
      </c>
      <c r="AA45" s="120"/>
      <c r="AB45" s="120"/>
      <c r="AC45" s="104"/>
    </row>
    <row r="46" spans="1:29" ht="51" customHeight="1" x14ac:dyDescent="0.3">
      <c r="A46" s="115">
        <v>38</v>
      </c>
      <c r="B46" s="128" t="s">
        <v>349</v>
      </c>
      <c r="C46" s="129" t="s">
        <v>332</v>
      </c>
      <c r="D46" s="115" t="s">
        <v>250</v>
      </c>
      <c r="E46" s="129" t="s">
        <v>251</v>
      </c>
      <c r="F46" s="118" t="s">
        <v>252</v>
      </c>
      <c r="G46" s="130">
        <v>1</v>
      </c>
      <c r="H46" s="130">
        <v>1</v>
      </c>
      <c r="I46" s="131" t="s">
        <v>350</v>
      </c>
      <c r="J46" s="131" t="s">
        <v>351</v>
      </c>
      <c r="K46" s="133">
        <v>7232.14</v>
      </c>
      <c r="L46" s="133">
        <v>7195.9793</v>
      </c>
      <c r="M46" s="133">
        <v>6970.8394799999996</v>
      </c>
      <c r="N46" s="117" t="s">
        <v>255</v>
      </c>
      <c r="O46" s="133">
        <v>36.220700000000001</v>
      </c>
      <c r="P46" s="133">
        <v>1</v>
      </c>
      <c r="Q46" s="133">
        <v>1</v>
      </c>
      <c r="R46" s="133">
        <v>6970.8394799999996</v>
      </c>
      <c r="S46" s="134">
        <v>1</v>
      </c>
      <c r="T46" s="135">
        <v>43723</v>
      </c>
      <c r="U46" s="133">
        <f t="shared" si="0"/>
        <v>6970.8394799999996</v>
      </c>
      <c r="V46" s="133"/>
      <c r="W46" s="133">
        <v>6970.8394799999996</v>
      </c>
      <c r="X46" s="136"/>
      <c r="Y46" s="120">
        <f t="shared" si="1"/>
        <v>7196</v>
      </c>
      <c r="Z46" s="120"/>
      <c r="AA46" s="120">
        <v>7196</v>
      </c>
      <c r="AB46" s="120"/>
      <c r="AC46" s="104"/>
    </row>
    <row r="47" spans="1:29" ht="51" customHeight="1" x14ac:dyDescent="0.3">
      <c r="A47" s="115">
        <v>39</v>
      </c>
      <c r="B47" s="128" t="s">
        <v>352</v>
      </c>
      <c r="C47" s="129" t="s">
        <v>332</v>
      </c>
      <c r="D47" s="115" t="s">
        <v>250</v>
      </c>
      <c r="E47" s="129" t="s">
        <v>251</v>
      </c>
      <c r="F47" s="118" t="s">
        <v>252</v>
      </c>
      <c r="G47" s="130">
        <v>1</v>
      </c>
      <c r="H47" s="130">
        <v>1</v>
      </c>
      <c r="I47" s="131" t="s">
        <v>353</v>
      </c>
      <c r="J47" s="131" t="s">
        <v>354</v>
      </c>
      <c r="K47" s="133">
        <v>4976.6400000000003</v>
      </c>
      <c r="L47" s="133">
        <v>4951.7568000000001</v>
      </c>
      <c r="M47" s="133">
        <v>4794.62</v>
      </c>
      <c r="N47" s="117" t="s">
        <v>320</v>
      </c>
      <c r="O47" s="133">
        <v>24.943200000000001</v>
      </c>
      <c r="P47" s="133">
        <v>0.5</v>
      </c>
      <c r="Q47" s="141">
        <v>0.5</v>
      </c>
      <c r="R47" s="133">
        <v>4794.6194800000003</v>
      </c>
      <c r="S47" s="134">
        <v>1</v>
      </c>
      <c r="T47" s="135">
        <v>43692</v>
      </c>
      <c r="U47" s="133">
        <f t="shared" si="0"/>
        <v>4794.6194800000003</v>
      </c>
      <c r="V47" s="133">
        <v>4794.6194800000003</v>
      </c>
      <c r="W47" s="133"/>
      <c r="X47" s="136"/>
      <c r="Y47" s="120">
        <f t="shared" si="1"/>
        <v>4794.7</v>
      </c>
      <c r="Z47" s="120">
        <v>4794.7</v>
      </c>
      <c r="AA47" s="120"/>
      <c r="AB47" s="120"/>
      <c r="AC47" s="104"/>
    </row>
    <row r="48" spans="1:29" ht="51" customHeight="1" x14ac:dyDescent="0.3">
      <c r="A48" s="115">
        <v>40</v>
      </c>
      <c r="B48" s="128" t="s">
        <v>355</v>
      </c>
      <c r="C48" s="129" t="s">
        <v>332</v>
      </c>
      <c r="D48" s="115" t="s">
        <v>250</v>
      </c>
      <c r="E48" s="129" t="s">
        <v>251</v>
      </c>
      <c r="F48" s="118" t="s">
        <v>252</v>
      </c>
      <c r="G48" s="130">
        <v>1</v>
      </c>
      <c r="H48" s="130">
        <v>1</v>
      </c>
      <c r="I48" s="131" t="s">
        <v>176</v>
      </c>
      <c r="J48" s="131" t="s">
        <v>356</v>
      </c>
      <c r="K48" s="133">
        <v>35676.050000000003</v>
      </c>
      <c r="L48" s="133">
        <v>35497.669750000001</v>
      </c>
      <c r="M48" s="133">
        <v>35359.21</v>
      </c>
      <c r="N48" s="117" t="s">
        <v>320</v>
      </c>
      <c r="O48" s="133"/>
      <c r="P48" s="133"/>
      <c r="Q48" s="133"/>
      <c r="R48" s="133">
        <f>3150</f>
        <v>3150</v>
      </c>
      <c r="S48" s="134">
        <v>8.8999999999999996E-2</v>
      </c>
      <c r="T48" s="135">
        <v>44119</v>
      </c>
      <c r="U48" s="133">
        <f t="shared" si="0"/>
        <v>3150</v>
      </c>
      <c r="V48" s="133"/>
      <c r="W48" s="133">
        <v>3150</v>
      </c>
      <c r="X48" s="136"/>
      <c r="Y48" s="120">
        <f t="shared" si="1"/>
        <v>3150</v>
      </c>
      <c r="Z48" s="120"/>
      <c r="AA48" s="120">
        <v>3150</v>
      </c>
      <c r="AB48" s="120"/>
      <c r="AC48" s="104"/>
    </row>
    <row r="49" spans="1:29" ht="51" customHeight="1" x14ac:dyDescent="0.3">
      <c r="A49" s="115">
        <v>41</v>
      </c>
      <c r="B49" s="128" t="s">
        <v>357</v>
      </c>
      <c r="C49" s="129" t="s">
        <v>332</v>
      </c>
      <c r="D49" s="115" t="s">
        <v>250</v>
      </c>
      <c r="E49" s="129" t="s">
        <v>251</v>
      </c>
      <c r="F49" s="118" t="s">
        <v>252</v>
      </c>
      <c r="G49" s="130">
        <v>1</v>
      </c>
      <c r="H49" s="130">
        <v>1</v>
      </c>
      <c r="I49" s="131" t="s">
        <v>358</v>
      </c>
      <c r="J49" s="131" t="s">
        <v>306</v>
      </c>
      <c r="K49" s="133">
        <v>37595.660000000003</v>
      </c>
      <c r="L49" s="133">
        <v>37407.681700000001</v>
      </c>
      <c r="M49" s="133">
        <v>36605.454989999998</v>
      </c>
      <c r="N49" s="117" t="s">
        <v>255</v>
      </c>
      <c r="O49" s="133">
        <v>92.367800000000003</v>
      </c>
      <c r="P49" s="133">
        <v>4.5</v>
      </c>
      <c r="Q49" s="133">
        <f>2.25+2.25</f>
        <v>4.5</v>
      </c>
      <c r="R49" s="133">
        <f>18373.2322+18232.22279</f>
        <v>36605.454989999998</v>
      </c>
      <c r="S49" s="134">
        <v>1</v>
      </c>
      <c r="T49" s="135">
        <v>43723</v>
      </c>
      <c r="U49" s="133">
        <f t="shared" si="0"/>
        <v>36605.454989999998</v>
      </c>
      <c r="V49" s="133">
        <v>18705.7</v>
      </c>
      <c r="W49" s="133">
        <v>17899.754990000001</v>
      </c>
      <c r="X49" s="136"/>
      <c r="Y49" s="120">
        <f t="shared" si="1"/>
        <v>36705.600000000006</v>
      </c>
      <c r="Z49" s="120">
        <v>18705.7</v>
      </c>
      <c r="AA49" s="120">
        <v>17999.900000000001</v>
      </c>
      <c r="AB49" s="120"/>
      <c r="AC49" s="104"/>
    </row>
    <row r="50" spans="1:29" ht="51" customHeight="1" x14ac:dyDescent="0.3">
      <c r="A50" s="115">
        <v>42</v>
      </c>
      <c r="B50" s="128" t="s">
        <v>359</v>
      </c>
      <c r="C50" s="129" t="s">
        <v>332</v>
      </c>
      <c r="D50" s="115" t="s">
        <v>250</v>
      </c>
      <c r="E50" s="129" t="s">
        <v>251</v>
      </c>
      <c r="F50" s="118" t="s">
        <v>252</v>
      </c>
      <c r="G50" s="130">
        <v>1</v>
      </c>
      <c r="H50" s="130">
        <v>1</v>
      </c>
      <c r="I50" s="131" t="s">
        <v>360</v>
      </c>
      <c r="J50" s="131" t="s">
        <v>167</v>
      </c>
      <c r="K50" s="133">
        <v>62668.639999999999</v>
      </c>
      <c r="L50" s="133">
        <v>62668.639999999999</v>
      </c>
      <c r="M50" s="133">
        <v>60783.078000000001</v>
      </c>
      <c r="N50" s="117" t="s">
        <v>320</v>
      </c>
      <c r="O50" s="133"/>
      <c r="P50" s="133">
        <v>6</v>
      </c>
      <c r="Q50" s="133">
        <v>6</v>
      </c>
      <c r="R50" s="133">
        <v>60783.078000000001</v>
      </c>
      <c r="S50" s="134">
        <v>1</v>
      </c>
      <c r="T50" s="135">
        <v>43723</v>
      </c>
      <c r="U50" s="133">
        <f t="shared" si="0"/>
        <v>60783.078000000001</v>
      </c>
      <c r="V50" s="133">
        <v>41842</v>
      </c>
      <c r="W50" s="133">
        <v>18941.078000000001</v>
      </c>
      <c r="X50" s="136"/>
      <c r="Y50" s="120">
        <f t="shared" si="1"/>
        <v>60841.799999999996</v>
      </c>
      <c r="Z50" s="120">
        <v>41842</v>
      </c>
      <c r="AA50" s="120">
        <v>18526.7</v>
      </c>
      <c r="AB50" s="120">
        <v>473.1</v>
      </c>
      <c r="AC50" s="104"/>
    </row>
    <row r="51" spans="1:29" ht="51" customHeight="1" x14ac:dyDescent="0.3">
      <c r="A51" s="115">
        <v>43</v>
      </c>
      <c r="B51" s="128" t="s">
        <v>361</v>
      </c>
      <c r="C51" s="129" t="s">
        <v>332</v>
      </c>
      <c r="D51" s="115" t="s">
        <v>250</v>
      </c>
      <c r="E51" s="129" t="s">
        <v>251</v>
      </c>
      <c r="F51" s="118" t="s">
        <v>252</v>
      </c>
      <c r="G51" s="130">
        <v>1</v>
      </c>
      <c r="H51" s="130">
        <v>1</v>
      </c>
      <c r="I51" s="131" t="s">
        <v>345</v>
      </c>
      <c r="J51" s="131" t="s">
        <v>167</v>
      </c>
      <c r="K51" s="133">
        <v>19000</v>
      </c>
      <c r="L51" s="133">
        <v>19000</v>
      </c>
      <c r="M51" s="133">
        <v>18399.675149999999</v>
      </c>
      <c r="N51" s="117" t="s">
        <v>320</v>
      </c>
      <c r="O51" s="133"/>
      <c r="P51" s="133">
        <v>1.9</v>
      </c>
      <c r="Q51" s="133">
        <v>1.9</v>
      </c>
      <c r="R51" s="133">
        <v>18399.675149999999</v>
      </c>
      <c r="S51" s="134">
        <v>1</v>
      </c>
      <c r="T51" s="135">
        <v>43723</v>
      </c>
      <c r="U51" s="133">
        <f t="shared" si="0"/>
        <v>18399.674999999999</v>
      </c>
      <c r="V51" s="133">
        <v>18000</v>
      </c>
      <c r="W51" s="133">
        <v>399.67500000000001</v>
      </c>
      <c r="X51" s="136"/>
      <c r="Y51" s="120">
        <f t="shared" si="1"/>
        <v>18399.7</v>
      </c>
      <c r="Z51" s="120">
        <v>18000</v>
      </c>
      <c r="AA51" s="120">
        <v>399.7</v>
      </c>
      <c r="AB51" s="120"/>
      <c r="AC51" s="104"/>
    </row>
    <row r="52" spans="1:29" ht="51" customHeight="1" x14ac:dyDescent="0.3">
      <c r="A52" s="115">
        <v>44</v>
      </c>
      <c r="B52" s="128" t="s">
        <v>362</v>
      </c>
      <c r="C52" s="129" t="s">
        <v>332</v>
      </c>
      <c r="D52" s="115" t="s">
        <v>250</v>
      </c>
      <c r="E52" s="129" t="s">
        <v>251</v>
      </c>
      <c r="F52" s="118" t="s">
        <v>252</v>
      </c>
      <c r="G52" s="130">
        <v>1</v>
      </c>
      <c r="H52" s="130">
        <v>1</v>
      </c>
      <c r="I52" s="132" t="s">
        <v>363</v>
      </c>
      <c r="J52" s="132" t="s">
        <v>306</v>
      </c>
      <c r="K52" s="133">
        <f>L52/0.95</f>
        <v>76302.600000000006</v>
      </c>
      <c r="L52" s="133">
        <v>72487.47</v>
      </c>
      <c r="M52" s="133">
        <v>72070.47</v>
      </c>
      <c r="N52" s="117" t="s">
        <v>320</v>
      </c>
      <c r="O52" s="133"/>
      <c r="P52" s="133">
        <v>1.948</v>
      </c>
      <c r="Q52" s="133">
        <v>1.948</v>
      </c>
      <c r="R52" s="133">
        <f>28500+29678.92698+13891.54508</f>
        <v>72070.47206</v>
      </c>
      <c r="S52" s="138">
        <v>1</v>
      </c>
      <c r="T52" s="135">
        <v>43672</v>
      </c>
      <c r="U52" s="133">
        <f t="shared" si="0"/>
        <v>72070.47206</v>
      </c>
      <c r="V52" s="133"/>
      <c r="W52" s="133">
        <v>72070.47206</v>
      </c>
      <c r="X52" s="136"/>
      <c r="Y52" s="120">
        <f t="shared" si="1"/>
        <v>43570.5</v>
      </c>
      <c r="Z52" s="120"/>
      <c r="AA52" s="120">
        <v>43570.5</v>
      </c>
      <c r="AB52" s="120"/>
      <c r="AC52" s="104"/>
    </row>
    <row r="53" spans="1:29" ht="51" customHeight="1" x14ac:dyDescent="0.3">
      <c r="A53" s="115">
        <v>45</v>
      </c>
      <c r="B53" s="128" t="s">
        <v>364</v>
      </c>
      <c r="C53" s="129" t="s">
        <v>332</v>
      </c>
      <c r="D53" s="115" t="s">
        <v>250</v>
      </c>
      <c r="E53" s="129" t="s">
        <v>251</v>
      </c>
      <c r="F53" s="118" t="s">
        <v>252</v>
      </c>
      <c r="G53" s="130">
        <v>1</v>
      </c>
      <c r="H53" s="130">
        <v>1</v>
      </c>
      <c r="I53" s="131" t="s">
        <v>365</v>
      </c>
      <c r="J53" s="131" t="s">
        <v>167</v>
      </c>
      <c r="K53" s="133">
        <v>20803.71</v>
      </c>
      <c r="L53" s="133">
        <v>20803.71</v>
      </c>
      <c r="M53" s="133">
        <v>19324.599999999999</v>
      </c>
      <c r="N53" s="117" t="s">
        <v>340</v>
      </c>
      <c r="O53" s="133"/>
      <c r="P53" s="133">
        <v>2</v>
      </c>
      <c r="Q53" s="133">
        <v>2</v>
      </c>
      <c r="R53" s="133">
        <f>9438.954+8921+964.64176</f>
        <v>19324.595759999997</v>
      </c>
      <c r="S53" s="134">
        <v>1</v>
      </c>
      <c r="T53" s="135">
        <v>43784</v>
      </c>
      <c r="U53" s="133">
        <f t="shared" si="0"/>
        <v>19324.59576</v>
      </c>
      <c r="V53" s="133">
        <v>9438.9539999999997</v>
      </c>
      <c r="W53" s="133">
        <v>9885.6417600000004</v>
      </c>
      <c r="X53" s="136"/>
      <c r="Y53" s="120">
        <f t="shared" si="1"/>
        <v>19324.7</v>
      </c>
      <c r="Z53" s="120">
        <v>9439</v>
      </c>
      <c r="AA53" s="120">
        <v>8921</v>
      </c>
      <c r="AB53" s="120">
        <v>964.7</v>
      </c>
      <c r="AC53" s="104"/>
    </row>
    <row r="54" spans="1:29" ht="51" customHeight="1" x14ac:dyDescent="0.3">
      <c r="A54" s="115">
        <v>46</v>
      </c>
      <c r="B54" s="128" t="s">
        <v>366</v>
      </c>
      <c r="C54" s="129" t="s">
        <v>332</v>
      </c>
      <c r="D54" s="115" t="s">
        <v>250</v>
      </c>
      <c r="E54" s="129" t="s">
        <v>251</v>
      </c>
      <c r="F54" s="118" t="s">
        <v>252</v>
      </c>
      <c r="G54" s="130">
        <v>1</v>
      </c>
      <c r="H54" s="130">
        <v>1</v>
      </c>
      <c r="I54" s="131" t="s">
        <v>367</v>
      </c>
      <c r="J54" s="131" t="s">
        <v>167</v>
      </c>
      <c r="K54" s="133">
        <v>59663.33</v>
      </c>
      <c r="L54" s="133">
        <v>59663.33</v>
      </c>
      <c r="M54" s="133">
        <v>53026.550600000002</v>
      </c>
      <c r="N54" s="117" t="s">
        <v>255</v>
      </c>
      <c r="O54" s="133"/>
      <c r="P54" s="133">
        <v>5</v>
      </c>
      <c r="Q54" s="133">
        <v>5</v>
      </c>
      <c r="R54" s="133">
        <f>53026.5506</f>
        <v>53026.550600000002</v>
      </c>
      <c r="S54" s="134">
        <v>1</v>
      </c>
      <c r="T54" s="135">
        <v>43723</v>
      </c>
      <c r="U54" s="133">
        <f t="shared" si="0"/>
        <v>53026.550600000002</v>
      </c>
      <c r="V54" s="133">
        <v>53026.550600000002</v>
      </c>
      <c r="W54" s="133"/>
      <c r="X54" s="136"/>
      <c r="Y54" s="120">
        <f t="shared" si="1"/>
        <v>53026.6</v>
      </c>
      <c r="Z54" s="120">
        <v>53026.6</v>
      </c>
      <c r="AA54" s="120"/>
      <c r="AB54" s="120"/>
      <c r="AC54" s="104"/>
    </row>
    <row r="55" spans="1:29" ht="51" customHeight="1" x14ac:dyDescent="0.3">
      <c r="A55" s="115">
        <v>47</v>
      </c>
      <c r="B55" s="214" t="s">
        <v>368</v>
      </c>
      <c r="C55" s="216" t="s">
        <v>332</v>
      </c>
      <c r="D55" s="115" t="s">
        <v>250</v>
      </c>
      <c r="E55" s="129" t="s">
        <v>251</v>
      </c>
      <c r="F55" s="118" t="s">
        <v>252</v>
      </c>
      <c r="G55" s="130">
        <v>1</v>
      </c>
      <c r="H55" s="130">
        <v>1</v>
      </c>
      <c r="I55" s="131" t="s">
        <v>369</v>
      </c>
      <c r="J55" s="131" t="s">
        <v>370</v>
      </c>
      <c r="K55" s="133">
        <v>60498.59</v>
      </c>
      <c r="L55" s="133">
        <v>53085</v>
      </c>
      <c r="M55" s="133">
        <v>48196.345450000001</v>
      </c>
      <c r="N55" s="117" t="s">
        <v>275</v>
      </c>
      <c r="O55" s="133">
        <f>K55-L55</f>
        <v>7413.5899999999965</v>
      </c>
      <c r="P55" s="133">
        <v>5.5</v>
      </c>
      <c r="Q55" s="133">
        <v>5.5</v>
      </c>
      <c r="R55" s="133">
        <v>48196.345450000001</v>
      </c>
      <c r="S55" s="134">
        <v>1</v>
      </c>
      <c r="T55" s="135">
        <v>43738</v>
      </c>
      <c r="U55" s="133">
        <f t="shared" si="0"/>
        <v>48196.345450000001</v>
      </c>
      <c r="V55" s="133"/>
      <c r="W55" s="133">
        <v>48196.345450000001</v>
      </c>
      <c r="X55" s="136"/>
      <c r="Y55" s="212">
        <f t="shared" si="1"/>
        <v>57722.700000000004</v>
      </c>
      <c r="Z55" s="212"/>
      <c r="AA55" s="212">
        <v>55810.3</v>
      </c>
      <c r="AB55" s="212">
        <v>1912.4</v>
      </c>
      <c r="AC55" s="104"/>
    </row>
    <row r="56" spans="1:29" ht="51" customHeight="1" x14ac:dyDescent="0.3">
      <c r="A56" s="115">
        <v>57</v>
      </c>
      <c r="B56" s="215"/>
      <c r="C56" s="217"/>
      <c r="D56" s="115" t="s">
        <v>250</v>
      </c>
      <c r="E56" s="129" t="s">
        <v>251</v>
      </c>
      <c r="F56" s="118" t="s">
        <v>252</v>
      </c>
      <c r="G56" s="130">
        <v>1</v>
      </c>
      <c r="H56" s="130">
        <v>1</v>
      </c>
      <c r="I56" s="131" t="s">
        <v>371</v>
      </c>
      <c r="J56" s="131" t="s">
        <v>167</v>
      </c>
      <c r="K56" s="137">
        <v>9526270</v>
      </c>
      <c r="L56" s="137">
        <v>9526270</v>
      </c>
      <c r="M56" s="133">
        <v>9526.27</v>
      </c>
      <c r="N56" s="146"/>
      <c r="O56" s="133"/>
      <c r="P56" s="133">
        <v>0.5</v>
      </c>
      <c r="Q56" s="133">
        <v>0.6</v>
      </c>
      <c r="R56" s="133">
        <v>9526.27</v>
      </c>
      <c r="S56" s="134">
        <v>1</v>
      </c>
      <c r="T56" s="135">
        <v>43779</v>
      </c>
      <c r="U56" s="147">
        <f>V56+W56+X56</f>
        <v>9526.27</v>
      </c>
      <c r="V56" s="133"/>
      <c r="W56" s="133">
        <v>9526.27</v>
      </c>
      <c r="X56" s="148"/>
      <c r="Y56" s="213"/>
      <c r="Z56" s="213"/>
      <c r="AA56" s="213"/>
      <c r="AB56" s="213"/>
      <c r="AC56" s="114"/>
    </row>
    <row r="57" spans="1:29" ht="51" customHeight="1" x14ac:dyDescent="0.3">
      <c r="A57" s="115">
        <v>48</v>
      </c>
      <c r="B57" s="128" t="s">
        <v>372</v>
      </c>
      <c r="C57" s="129" t="s">
        <v>332</v>
      </c>
      <c r="D57" s="115" t="s">
        <v>250</v>
      </c>
      <c r="E57" s="129" t="s">
        <v>251</v>
      </c>
      <c r="F57" s="118" t="s">
        <v>252</v>
      </c>
      <c r="G57" s="130">
        <v>1</v>
      </c>
      <c r="H57" s="130">
        <v>1</v>
      </c>
      <c r="I57" s="131" t="s">
        <v>373</v>
      </c>
      <c r="J57" s="131" t="s">
        <v>348</v>
      </c>
      <c r="K57" s="133">
        <v>64340.07</v>
      </c>
      <c r="L57" s="133">
        <v>64370.07</v>
      </c>
      <c r="M57" s="133">
        <v>61734.137260000003</v>
      </c>
      <c r="N57" s="117" t="s">
        <v>320</v>
      </c>
      <c r="O57" s="133"/>
      <c r="P57" s="133">
        <v>5.4880000000000004</v>
      </c>
      <c r="Q57" s="133">
        <v>5.49</v>
      </c>
      <c r="R57" s="133">
        <v>61734.137260000003</v>
      </c>
      <c r="S57" s="134">
        <v>1</v>
      </c>
      <c r="T57" s="135">
        <v>43723</v>
      </c>
      <c r="U57" s="133">
        <f t="shared" si="0"/>
        <v>61734.137259999996</v>
      </c>
      <c r="V57" s="133">
        <v>28398.67</v>
      </c>
      <c r="W57" s="133">
        <v>33335.467259999998</v>
      </c>
      <c r="X57" s="136"/>
      <c r="Y57" s="120">
        <f t="shared" si="1"/>
        <v>62825.400000000009</v>
      </c>
      <c r="Z57" s="120">
        <v>28398.7</v>
      </c>
      <c r="AA57" s="120">
        <v>33941.4</v>
      </c>
      <c r="AB57" s="120">
        <v>485.3</v>
      </c>
      <c r="AC57" s="104"/>
    </row>
    <row r="58" spans="1:29" ht="51" customHeight="1" x14ac:dyDescent="0.3">
      <c r="A58" s="115">
        <v>49</v>
      </c>
      <c r="B58" s="214" t="s">
        <v>374</v>
      </c>
      <c r="C58" s="216" t="s">
        <v>332</v>
      </c>
      <c r="D58" s="115" t="s">
        <v>250</v>
      </c>
      <c r="E58" s="129" t="s">
        <v>251</v>
      </c>
      <c r="F58" s="118" t="s">
        <v>252</v>
      </c>
      <c r="G58" s="130">
        <v>1</v>
      </c>
      <c r="H58" s="130">
        <v>1</v>
      </c>
      <c r="I58" s="131" t="s">
        <v>375</v>
      </c>
      <c r="J58" s="131" t="s">
        <v>167</v>
      </c>
      <c r="K58" s="133">
        <v>125453.86</v>
      </c>
      <c r="L58" s="133">
        <v>125453.86</v>
      </c>
      <c r="M58" s="133">
        <v>116136.93913</v>
      </c>
      <c r="N58" s="117" t="s">
        <v>340</v>
      </c>
      <c r="O58" s="133">
        <v>229.07919999999999</v>
      </c>
      <c r="P58" s="133">
        <v>11</v>
      </c>
      <c r="Q58" s="133">
        <v>11</v>
      </c>
      <c r="R58" s="133">
        <v>116136.93913</v>
      </c>
      <c r="S58" s="134">
        <v>1</v>
      </c>
      <c r="T58" s="135">
        <v>43784</v>
      </c>
      <c r="U58" s="133">
        <f t="shared" si="0"/>
        <v>116136.93913</v>
      </c>
      <c r="V58" s="133">
        <v>115704.8</v>
      </c>
      <c r="W58" s="133">
        <v>432.13913000000002</v>
      </c>
      <c r="X58" s="136"/>
      <c r="Y58" s="212">
        <f t="shared" si="1"/>
        <v>129766.3</v>
      </c>
      <c r="Z58" s="212">
        <v>115704.8</v>
      </c>
      <c r="AA58" s="212">
        <v>12084.4</v>
      </c>
      <c r="AB58" s="212">
        <v>1977.1</v>
      </c>
      <c r="AC58" s="104"/>
    </row>
    <row r="59" spans="1:29" ht="51" customHeight="1" x14ac:dyDescent="0.3">
      <c r="A59" s="115">
        <v>59</v>
      </c>
      <c r="B59" s="215"/>
      <c r="C59" s="217"/>
      <c r="D59" s="115" t="s">
        <v>250</v>
      </c>
      <c r="E59" s="129" t="s">
        <v>251</v>
      </c>
      <c r="F59" s="118" t="s">
        <v>252</v>
      </c>
      <c r="G59" s="130">
        <v>1</v>
      </c>
      <c r="H59" s="130">
        <v>1</v>
      </c>
      <c r="I59" s="131" t="s">
        <v>371</v>
      </c>
      <c r="J59" s="131" t="s">
        <v>167</v>
      </c>
      <c r="K59" s="133">
        <v>8335.26</v>
      </c>
      <c r="L59" s="133">
        <v>8335.26</v>
      </c>
      <c r="M59" s="133">
        <v>8335.26</v>
      </c>
      <c r="N59" s="117"/>
      <c r="O59" s="133"/>
      <c r="P59" s="133">
        <v>0.6</v>
      </c>
      <c r="Q59" s="133">
        <v>0.6</v>
      </c>
      <c r="R59" s="133">
        <v>8335.26</v>
      </c>
      <c r="S59" s="134">
        <v>1</v>
      </c>
      <c r="T59" s="135">
        <v>43784</v>
      </c>
      <c r="U59" s="147">
        <f>V59+W59+X59</f>
        <v>8335.26</v>
      </c>
      <c r="V59" s="133"/>
      <c r="W59" s="133">
        <v>8335.26</v>
      </c>
      <c r="X59" s="148"/>
      <c r="Y59" s="213"/>
      <c r="Z59" s="213"/>
      <c r="AA59" s="213"/>
      <c r="AB59" s="213"/>
      <c r="AC59" s="114"/>
    </row>
    <row r="60" spans="1:29" ht="51" customHeight="1" x14ac:dyDescent="0.3">
      <c r="A60" s="115">
        <v>50</v>
      </c>
      <c r="B60" s="128" t="s">
        <v>376</v>
      </c>
      <c r="C60" s="129" t="s">
        <v>332</v>
      </c>
      <c r="D60" s="115" t="s">
        <v>250</v>
      </c>
      <c r="E60" s="129" t="s">
        <v>251</v>
      </c>
      <c r="F60" s="118" t="s">
        <v>252</v>
      </c>
      <c r="G60" s="130">
        <v>1</v>
      </c>
      <c r="H60" s="130">
        <v>1</v>
      </c>
      <c r="I60" s="131" t="s">
        <v>377</v>
      </c>
      <c r="J60" s="131" t="s">
        <v>378</v>
      </c>
      <c r="K60" s="133">
        <v>17263.330000000002</v>
      </c>
      <c r="L60" s="133">
        <v>12343.28095</v>
      </c>
      <c r="M60" s="133">
        <v>11117.84519</v>
      </c>
      <c r="N60" s="136"/>
      <c r="O60" s="133">
        <f>K60-L60</f>
        <v>4920.0490500000014</v>
      </c>
      <c r="P60" s="133">
        <v>2.0529999999999999</v>
      </c>
      <c r="Q60" s="133">
        <v>2.0529999999999999</v>
      </c>
      <c r="R60" s="133">
        <v>11117.84519</v>
      </c>
      <c r="S60" s="134">
        <v>1</v>
      </c>
      <c r="T60" s="135">
        <v>43723</v>
      </c>
      <c r="U60" s="133">
        <f t="shared" si="0"/>
        <v>11117.84519</v>
      </c>
      <c r="V60" s="133">
        <v>11117.84519</v>
      </c>
      <c r="W60" s="133"/>
      <c r="X60" s="136"/>
      <c r="Y60" s="120">
        <f t="shared" si="1"/>
        <v>12343.3</v>
      </c>
      <c r="Z60" s="120">
        <v>12343.3</v>
      </c>
      <c r="AA60" s="120"/>
      <c r="AB60" s="120"/>
      <c r="AC60" s="104"/>
    </row>
    <row r="61" spans="1:29" ht="51" customHeight="1" x14ac:dyDescent="0.3">
      <c r="A61" s="115">
        <v>51</v>
      </c>
      <c r="B61" s="128" t="s">
        <v>379</v>
      </c>
      <c r="C61" s="129" t="s">
        <v>332</v>
      </c>
      <c r="D61" s="115" t="s">
        <v>250</v>
      </c>
      <c r="E61" s="129" t="s">
        <v>251</v>
      </c>
      <c r="F61" s="118" t="s">
        <v>252</v>
      </c>
      <c r="G61" s="130">
        <v>1</v>
      </c>
      <c r="H61" s="130">
        <v>1</v>
      </c>
      <c r="I61" s="131" t="s">
        <v>380</v>
      </c>
      <c r="J61" s="131" t="s">
        <v>167</v>
      </c>
      <c r="K61" s="133">
        <v>89913.25</v>
      </c>
      <c r="L61" s="133">
        <v>89913.25</v>
      </c>
      <c r="M61" s="133">
        <v>83802.003150000004</v>
      </c>
      <c r="N61" s="117" t="s">
        <v>320</v>
      </c>
      <c r="O61" s="133"/>
      <c r="P61" s="133">
        <v>9</v>
      </c>
      <c r="Q61" s="133">
        <v>9</v>
      </c>
      <c r="R61" s="133">
        <v>83802.003150000004</v>
      </c>
      <c r="S61" s="134">
        <v>1</v>
      </c>
      <c r="T61" s="135">
        <v>43723</v>
      </c>
      <c r="U61" s="133">
        <f t="shared" si="0"/>
        <v>83802.003150000004</v>
      </c>
      <c r="V61" s="133"/>
      <c r="W61" s="133">
        <v>83802.003150000004</v>
      </c>
      <c r="X61" s="136"/>
      <c r="Y61" s="120">
        <f t="shared" si="1"/>
        <v>86228.3</v>
      </c>
      <c r="Z61" s="120"/>
      <c r="AA61" s="120">
        <v>86228.3</v>
      </c>
      <c r="AB61" s="120"/>
      <c r="AC61" s="104"/>
    </row>
    <row r="62" spans="1:29" ht="51" customHeight="1" x14ac:dyDescent="0.3">
      <c r="A62" s="115">
        <v>52</v>
      </c>
      <c r="B62" s="128" t="s">
        <v>381</v>
      </c>
      <c r="C62" s="129" t="s">
        <v>332</v>
      </c>
      <c r="D62" s="115" t="s">
        <v>250</v>
      </c>
      <c r="E62" s="129" t="s">
        <v>251</v>
      </c>
      <c r="F62" s="118" t="s">
        <v>252</v>
      </c>
      <c r="G62" s="130">
        <v>1</v>
      </c>
      <c r="H62" s="130">
        <v>1</v>
      </c>
      <c r="I62" s="131" t="s">
        <v>382</v>
      </c>
      <c r="J62" s="131" t="s">
        <v>173</v>
      </c>
      <c r="K62" s="133">
        <v>12443.13</v>
      </c>
      <c r="L62" s="133">
        <v>9332.3474999999999</v>
      </c>
      <c r="M62" s="133">
        <v>9036.32</v>
      </c>
      <c r="N62" s="117" t="s">
        <v>320</v>
      </c>
      <c r="O62" s="133">
        <f>K62-L62</f>
        <v>3110.7824999999993</v>
      </c>
      <c r="P62" s="133">
        <v>1.5</v>
      </c>
      <c r="Q62" s="133">
        <v>1.5</v>
      </c>
      <c r="R62" s="133">
        <v>9036.3176999999996</v>
      </c>
      <c r="S62" s="134">
        <v>1</v>
      </c>
      <c r="T62" s="135">
        <v>43723</v>
      </c>
      <c r="U62" s="133">
        <f t="shared" si="0"/>
        <v>9036.3176999999996</v>
      </c>
      <c r="V62" s="133">
        <v>9036.3176999999996</v>
      </c>
      <c r="W62" s="133"/>
      <c r="X62" s="136"/>
      <c r="Y62" s="120">
        <f t="shared" si="1"/>
        <v>9036.4</v>
      </c>
      <c r="Z62" s="120">
        <v>9036.4</v>
      </c>
      <c r="AA62" s="120"/>
      <c r="AB62" s="120"/>
      <c r="AC62" s="104"/>
    </row>
    <row r="63" spans="1:29" ht="51" customHeight="1" x14ac:dyDescent="0.3">
      <c r="A63" s="115">
        <v>53</v>
      </c>
      <c r="B63" s="128" t="s">
        <v>383</v>
      </c>
      <c r="C63" s="129" t="s">
        <v>332</v>
      </c>
      <c r="D63" s="115" t="s">
        <v>250</v>
      </c>
      <c r="E63" s="129" t="s">
        <v>251</v>
      </c>
      <c r="F63" s="118" t="s">
        <v>252</v>
      </c>
      <c r="G63" s="130">
        <v>1</v>
      </c>
      <c r="H63" s="130">
        <v>1</v>
      </c>
      <c r="I63" s="131" t="s">
        <v>384</v>
      </c>
      <c r="J63" s="131" t="s">
        <v>167</v>
      </c>
      <c r="K63" s="133">
        <v>19501.099999999999</v>
      </c>
      <c r="L63" s="133">
        <v>19501.099999999999</v>
      </c>
      <c r="M63" s="133">
        <v>18246.84</v>
      </c>
      <c r="N63" s="117" t="s">
        <v>320</v>
      </c>
      <c r="O63" s="133"/>
      <c r="P63" s="133">
        <v>4.38</v>
      </c>
      <c r="Q63" s="133">
        <v>4.38</v>
      </c>
      <c r="R63" s="133">
        <f>10005.9+8240.94</f>
        <v>18246.84</v>
      </c>
      <c r="S63" s="134">
        <v>1</v>
      </c>
      <c r="T63" s="135">
        <v>43702</v>
      </c>
      <c r="U63" s="133">
        <f t="shared" si="0"/>
        <v>18246.84</v>
      </c>
      <c r="V63" s="133">
        <v>18005.900000000001</v>
      </c>
      <c r="W63" s="133">
        <v>240.94</v>
      </c>
      <c r="X63" s="136"/>
      <c r="Y63" s="120">
        <f t="shared" si="1"/>
        <v>19101</v>
      </c>
      <c r="Z63" s="120">
        <v>18005.900000000001</v>
      </c>
      <c r="AA63" s="120">
        <v>1095.0999999999999</v>
      </c>
      <c r="AB63" s="120"/>
      <c r="AC63" s="104"/>
    </row>
    <row r="64" spans="1:29" ht="51" customHeight="1" x14ac:dyDescent="0.3">
      <c r="A64" s="216">
        <v>54</v>
      </c>
      <c r="B64" s="214" t="s">
        <v>385</v>
      </c>
      <c r="C64" s="129" t="s">
        <v>332</v>
      </c>
      <c r="D64" s="216" t="s">
        <v>250</v>
      </c>
      <c r="E64" s="216" t="s">
        <v>251</v>
      </c>
      <c r="F64" s="188" t="s">
        <v>252</v>
      </c>
      <c r="G64" s="218">
        <v>1</v>
      </c>
      <c r="H64" s="218">
        <v>1</v>
      </c>
      <c r="I64" s="131" t="s">
        <v>386</v>
      </c>
      <c r="J64" s="131" t="s">
        <v>167</v>
      </c>
      <c r="K64" s="133">
        <v>30208.75</v>
      </c>
      <c r="L64" s="133">
        <v>30208.75</v>
      </c>
      <c r="M64" s="133">
        <v>27793.866560000002</v>
      </c>
      <c r="N64" s="117" t="s">
        <v>387</v>
      </c>
      <c r="O64" s="133"/>
      <c r="P64" s="225">
        <v>2</v>
      </c>
      <c r="Q64" s="225">
        <v>2</v>
      </c>
      <c r="R64" s="133">
        <v>27793.866559999999</v>
      </c>
      <c r="S64" s="227">
        <v>1</v>
      </c>
      <c r="T64" s="135">
        <v>43739</v>
      </c>
      <c r="U64" s="133">
        <f t="shared" si="0"/>
        <v>27793.866560000002</v>
      </c>
      <c r="V64" s="133">
        <v>20491</v>
      </c>
      <c r="W64" s="133">
        <v>7302.8665600000004</v>
      </c>
      <c r="X64" s="136"/>
      <c r="Y64" s="212">
        <f t="shared" si="1"/>
        <v>39153.5</v>
      </c>
      <c r="Z64" s="212">
        <v>22475.8</v>
      </c>
      <c r="AA64" s="212">
        <v>16677.7</v>
      </c>
      <c r="AB64" s="212"/>
      <c r="AC64" s="104"/>
    </row>
    <row r="65" spans="1:29" ht="51" customHeight="1" x14ac:dyDescent="0.3">
      <c r="A65" s="217"/>
      <c r="B65" s="215"/>
      <c r="C65" s="149"/>
      <c r="D65" s="217"/>
      <c r="E65" s="217"/>
      <c r="F65" s="190"/>
      <c r="G65" s="219"/>
      <c r="H65" s="219"/>
      <c r="I65" s="150" t="s">
        <v>388</v>
      </c>
      <c r="J65" s="150" t="s">
        <v>167</v>
      </c>
      <c r="K65" s="151">
        <v>9961</v>
      </c>
      <c r="L65" s="151">
        <v>9961</v>
      </c>
      <c r="M65" s="133">
        <v>8087.9387999999999</v>
      </c>
      <c r="N65" s="152"/>
      <c r="O65" s="151"/>
      <c r="P65" s="226"/>
      <c r="Q65" s="226"/>
      <c r="R65" s="151">
        <v>8087.9387999999999</v>
      </c>
      <c r="S65" s="228"/>
      <c r="T65" s="153">
        <v>43753</v>
      </c>
      <c r="U65" s="133">
        <f t="shared" si="0"/>
        <v>8087.9387999999999</v>
      </c>
      <c r="V65" s="133">
        <v>1984.8</v>
      </c>
      <c r="W65" s="133">
        <v>6103.1387999999997</v>
      </c>
      <c r="X65" s="154"/>
      <c r="Y65" s="213"/>
      <c r="Z65" s="213"/>
      <c r="AA65" s="213"/>
      <c r="AB65" s="213"/>
      <c r="AC65" s="104"/>
    </row>
    <row r="66" spans="1:29" ht="51" customHeight="1" x14ac:dyDescent="0.3">
      <c r="A66" s="115">
        <v>55</v>
      </c>
      <c r="B66" s="155" t="s">
        <v>389</v>
      </c>
      <c r="C66" s="149" t="s">
        <v>332</v>
      </c>
      <c r="D66" s="156" t="s">
        <v>250</v>
      </c>
      <c r="E66" s="129" t="s">
        <v>251</v>
      </c>
      <c r="F66" s="118" t="s">
        <v>252</v>
      </c>
      <c r="G66" s="130">
        <v>1</v>
      </c>
      <c r="H66" s="130">
        <v>1</v>
      </c>
      <c r="I66" s="150" t="s">
        <v>390</v>
      </c>
      <c r="J66" s="150" t="s">
        <v>167</v>
      </c>
      <c r="K66" s="151">
        <v>75183.81</v>
      </c>
      <c r="L66" s="151">
        <v>75183.81</v>
      </c>
      <c r="M66" s="133">
        <v>72785.256399999998</v>
      </c>
      <c r="N66" s="157" t="s">
        <v>313</v>
      </c>
      <c r="O66" s="151"/>
      <c r="P66" s="151">
        <v>5.3</v>
      </c>
      <c r="Q66" s="151">
        <v>5.25</v>
      </c>
      <c r="R66" s="151">
        <v>72785.256399999998</v>
      </c>
      <c r="S66" s="158">
        <v>1</v>
      </c>
      <c r="T66" s="153">
        <v>43738</v>
      </c>
      <c r="U66" s="133">
        <f t="shared" si="0"/>
        <v>72785.256400000013</v>
      </c>
      <c r="V66" s="133">
        <v>71356.600000000006</v>
      </c>
      <c r="W66" s="133">
        <v>1428.6564000000001</v>
      </c>
      <c r="X66" s="154"/>
      <c r="Y66" s="120">
        <f t="shared" si="1"/>
        <v>75183.900000000009</v>
      </c>
      <c r="Z66" s="120">
        <v>71356.600000000006</v>
      </c>
      <c r="AA66" s="120">
        <v>3827.3</v>
      </c>
      <c r="AB66" s="120"/>
      <c r="AC66" s="104"/>
    </row>
    <row r="67" spans="1:29" ht="51" customHeight="1" x14ac:dyDescent="0.3">
      <c r="A67" s="115">
        <v>56</v>
      </c>
      <c r="B67" s="128" t="s">
        <v>391</v>
      </c>
      <c r="C67" s="129" t="s">
        <v>332</v>
      </c>
      <c r="D67" s="115" t="s">
        <v>250</v>
      </c>
      <c r="E67" s="129" t="s">
        <v>251</v>
      </c>
      <c r="F67" s="118" t="s">
        <v>252</v>
      </c>
      <c r="G67" s="130">
        <v>1</v>
      </c>
      <c r="H67" s="130">
        <v>1</v>
      </c>
      <c r="I67" s="131" t="s">
        <v>392</v>
      </c>
      <c r="J67" s="131" t="s">
        <v>393</v>
      </c>
      <c r="K67" s="133">
        <v>7847.87</v>
      </c>
      <c r="L67" s="133">
        <v>6003.6205499999996</v>
      </c>
      <c r="M67" s="133">
        <v>5813.2772299999997</v>
      </c>
      <c r="N67" s="146" t="s">
        <v>394</v>
      </c>
      <c r="O67" s="133">
        <f>K67-L67</f>
        <v>1844.2494500000003</v>
      </c>
      <c r="P67" s="133">
        <v>2</v>
      </c>
      <c r="Q67" s="133">
        <v>2</v>
      </c>
      <c r="R67" s="133">
        <v>5813.2772299999997</v>
      </c>
      <c r="S67" s="134">
        <v>1</v>
      </c>
      <c r="T67" s="135">
        <v>43692</v>
      </c>
      <c r="U67" s="147">
        <f t="shared" si="0"/>
        <v>5813.2772299999997</v>
      </c>
      <c r="V67" s="133">
        <v>5813.2772299999997</v>
      </c>
      <c r="W67" s="133"/>
      <c r="X67" s="159"/>
      <c r="Y67" s="120">
        <f t="shared" si="1"/>
        <v>6003.7</v>
      </c>
      <c r="Z67" s="120">
        <v>6003.7</v>
      </c>
      <c r="AA67" s="120"/>
      <c r="AB67" s="120"/>
      <c r="AC67" s="114"/>
    </row>
    <row r="68" spans="1:29" ht="51" customHeight="1" x14ac:dyDescent="0.3">
      <c r="A68" s="115">
        <v>58</v>
      </c>
      <c r="B68" s="160" t="s">
        <v>395</v>
      </c>
      <c r="C68" s="129" t="s">
        <v>332</v>
      </c>
      <c r="D68" s="115" t="s">
        <v>250</v>
      </c>
      <c r="E68" s="129" t="s">
        <v>251</v>
      </c>
      <c r="F68" s="118" t="s">
        <v>252</v>
      </c>
      <c r="G68" s="130">
        <v>1</v>
      </c>
      <c r="H68" s="130">
        <v>1</v>
      </c>
      <c r="I68" s="131" t="s">
        <v>396</v>
      </c>
      <c r="J68" s="131" t="s">
        <v>397</v>
      </c>
      <c r="K68" s="133">
        <v>9360.64</v>
      </c>
      <c r="L68" s="133">
        <v>9313.83</v>
      </c>
      <c r="M68" s="133">
        <v>9018.5363199999993</v>
      </c>
      <c r="N68" s="146" t="s">
        <v>394</v>
      </c>
      <c r="O68" s="133">
        <v>46.8</v>
      </c>
      <c r="P68" s="133">
        <v>0.5</v>
      </c>
      <c r="Q68" s="133">
        <v>0.7</v>
      </c>
      <c r="R68" s="133">
        <v>9018.5363199999993</v>
      </c>
      <c r="S68" s="134">
        <v>1</v>
      </c>
      <c r="T68" s="135">
        <v>43779</v>
      </c>
      <c r="U68" s="147">
        <f t="shared" si="0"/>
        <v>9018.5363199999993</v>
      </c>
      <c r="V68" s="133"/>
      <c r="W68" s="133">
        <v>9018.5363199999993</v>
      </c>
      <c r="X68" s="148"/>
      <c r="Y68" s="120">
        <f t="shared" si="1"/>
        <v>14313.9</v>
      </c>
      <c r="Z68" s="120">
        <v>5000</v>
      </c>
      <c r="AA68" s="120">
        <v>9000</v>
      </c>
      <c r="AB68" s="120">
        <v>313.89999999999998</v>
      </c>
      <c r="AC68" s="114"/>
    </row>
    <row r="69" spans="1:29" ht="51" customHeight="1" x14ac:dyDescent="0.3">
      <c r="A69" s="115">
        <v>60</v>
      </c>
      <c r="B69" s="128" t="s">
        <v>398</v>
      </c>
      <c r="C69" s="129" t="s">
        <v>332</v>
      </c>
      <c r="D69" s="115" t="s">
        <v>250</v>
      </c>
      <c r="E69" s="129" t="s">
        <v>251</v>
      </c>
      <c r="F69" s="118" t="s">
        <v>252</v>
      </c>
      <c r="G69" s="130">
        <v>1</v>
      </c>
      <c r="H69" s="130">
        <v>1</v>
      </c>
      <c r="I69" s="131" t="s">
        <v>399</v>
      </c>
      <c r="J69" s="131" t="s">
        <v>167</v>
      </c>
      <c r="K69" s="133">
        <v>17336</v>
      </c>
      <c r="L69" s="133">
        <v>14475.73</v>
      </c>
      <c r="M69" s="133">
        <v>13865.64</v>
      </c>
      <c r="N69" s="117" t="s">
        <v>400</v>
      </c>
      <c r="O69" s="133">
        <v>2860</v>
      </c>
      <c r="P69" s="133">
        <v>2.15</v>
      </c>
      <c r="Q69" s="133">
        <v>2.15</v>
      </c>
      <c r="R69" s="133">
        <v>13865.63889</v>
      </c>
      <c r="S69" s="134">
        <v>1</v>
      </c>
      <c r="T69" s="135">
        <v>43784</v>
      </c>
      <c r="U69" s="147">
        <f t="shared" si="0"/>
        <v>13865.63889</v>
      </c>
      <c r="V69" s="133"/>
      <c r="W69" s="133">
        <v>13865.63889</v>
      </c>
      <c r="X69" s="148"/>
      <c r="Y69" s="120">
        <f t="shared" si="1"/>
        <v>13865.8</v>
      </c>
      <c r="Z69" s="120"/>
      <c r="AA69" s="120">
        <v>13475.8</v>
      </c>
      <c r="AB69" s="120">
        <v>390</v>
      </c>
      <c r="AC69" s="114"/>
    </row>
    <row r="70" spans="1:29" ht="51" customHeight="1" x14ac:dyDescent="0.3">
      <c r="A70" s="115">
        <v>61</v>
      </c>
      <c r="B70" s="128" t="s">
        <v>401</v>
      </c>
      <c r="C70" s="129" t="s">
        <v>332</v>
      </c>
      <c r="D70" s="115" t="s">
        <v>250</v>
      </c>
      <c r="E70" s="129" t="s">
        <v>251</v>
      </c>
      <c r="F70" s="118" t="s">
        <v>252</v>
      </c>
      <c r="G70" s="130">
        <v>1</v>
      </c>
      <c r="H70" s="130">
        <v>1</v>
      </c>
      <c r="I70" s="131" t="s">
        <v>402</v>
      </c>
      <c r="J70" s="131" t="s">
        <v>167</v>
      </c>
      <c r="K70" s="133">
        <v>8200</v>
      </c>
      <c r="L70" s="161">
        <v>6765</v>
      </c>
      <c r="M70" s="133">
        <v>6479</v>
      </c>
      <c r="N70" s="117" t="s">
        <v>400</v>
      </c>
      <c r="O70" s="130">
        <v>1435</v>
      </c>
      <c r="P70" s="115">
        <v>0.81</v>
      </c>
      <c r="Q70" s="133">
        <v>0.81</v>
      </c>
      <c r="R70" s="133">
        <v>6479.8850599999996</v>
      </c>
      <c r="S70" s="134">
        <v>1</v>
      </c>
      <c r="T70" s="162">
        <v>43784</v>
      </c>
      <c r="U70" s="147">
        <f t="shared" si="0"/>
        <v>6479.8850599999996</v>
      </c>
      <c r="V70" s="133"/>
      <c r="W70" s="133">
        <v>6479.8850599999996</v>
      </c>
      <c r="X70" s="148"/>
      <c r="Y70" s="120">
        <f t="shared" si="1"/>
        <v>6479.9</v>
      </c>
      <c r="Z70" s="120"/>
      <c r="AA70" s="120">
        <v>6265</v>
      </c>
      <c r="AB70" s="120">
        <v>214.9</v>
      </c>
      <c r="AC70" s="104"/>
    </row>
    <row r="71" spans="1:29" ht="51" customHeight="1" x14ac:dyDescent="0.3">
      <c r="A71" s="220" t="s">
        <v>403</v>
      </c>
      <c r="B71" s="221"/>
      <c r="C71" s="221"/>
      <c r="D71" s="221"/>
      <c r="E71" s="163"/>
      <c r="F71" s="163"/>
      <c r="G71" s="163"/>
      <c r="H71" s="163"/>
      <c r="I71" s="163"/>
      <c r="J71" s="163"/>
      <c r="K71" s="164"/>
      <c r="L71" s="164"/>
      <c r="M71" s="164"/>
      <c r="N71" s="165"/>
      <c r="O71" s="163"/>
      <c r="P71" s="163"/>
      <c r="Q71" s="163"/>
      <c r="R71" s="163"/>
      <c r="S71" s="163"/>
      <c r="T71" s="163"/>
      <c r="U71" s="163"/>
      <c r="V71" s="163"/>
      <c r="W71" s="163"/>
      <c r="X71" s="148"/>
      <c r="Y71" s="120">
        <f t="shared" si="1"/>
        <v>0</v>
      </c>
      <c r="Z71" s="120"/>
      <c r="AA71" s="120"/>
      <c r="AB71" s="120"/>
      <c r="AC71" s="104"/>
    </row>
    <row r="72" spans="1:29" ht="51" customHeight="1" x14ac:dyDescent="0.3">
      <c r="A72" s="115">
        <v>1</v>
      </c>
      <c r="B72" s="128" t="s">
        <v>404</v>
      </c>
      <c r="C72" s="129" t="s">
        <v>261</v>
      </c>
      <c r="D72" s="115" t="s">
        <v>405</v>
      </c>
      <c r="E72" s="129" t="s">
        <v>251</v>
      </c>
      <c r="F72" s="118" t="s">
        <v>252</v>
      </c>
      <c r="G72" s="130">
        <v>1</v>
      </c>
      <c r="H72" s="130">
        <v>1</v>
      </c>
      <c r="I72" s="132" t="s">
        <v>406</v>
      </c>
      <c r="J72" s="132" t="s">
        <v>407</v>
      </c>
      <c r="K72" s="133">
        <v>1035139.25</v>
      </c>
      <c r="L72" s="133">
        <v>1035139.25</v>
      </c>
      <c r="M72" s="133">
        <v>1035708.73063</v>
      </c>
      <c r="N72" s="117" t="s">
        <v>408</v>
      </c>
      <c r="O72" s="133"/>
      <c r="P72" s="133"/>
      <c r="Q72" s="133"/>
      <c r="R72" s="133">
        <f>462200+45235.1896</f>
        <v>507435.18959999998</v>
      </c>
      <c r="S72" s="138">
        <f>R72/M72</f>
        <v>0.48994005224937881</v>
      </c>
      <c r="T72" s="140">
        <v>44438</v>
      </c>
      <c r="U72" s="133">
        <f t="shared" si="0"/>
        <v>558004.66911000002</v>
      </c>
      <c r="V72" s="133">
        <f>103170.1+100000+4262.83418</f>
        <v>207432.93418000001</v>
      </c>
      <c r="W72" s="133">
        <v>350571.73492999998</v>
      </c>
      <c r="X72" s="136"/>
      <c r="Y72" s="120">
        <f t="shared" si="1"/>
        <v>115567.59999999999</v>
      </c>
      <c r="Z72" s="120">
        <v>4262.8999999999996</v>
      </c>
      <c r="AA72" s="120">
        <v>75926.399999999994</v>
      </c>
      <c r="AB72" s="120">
        <v>35378.300000000003</v>
      </c>
      <c r="AC72" s="104"/>
    </row>
    <row r="73" spans="1:29" ht="51" customHeight="1" x14ac:dyDescent="0.3">
      <c r="A73" s="115">
        <v>2</v>
      </c>
      <c r="B73" s="166" t="s">
        <v>409</v>
      </c>
      <c r="C73" s="129" t="s">
        <v>261</v>
      </c>
      <c r="D73" s="115" t="s">
        <v>405</v>
      </c>
      <c r="E73" s="129" t="s">
        <v>251</v>
      </c>
      <c r="F73" s="118" t="s">
        <v>252</v>
      </c>
      <c r="G73" s="130">
        <v>1</v>
      </c>
      <c r="H73" s="130">
        <v>1</v>
      </c>
      <c r="I73" s="132" t="s">
        <v>410</v>
      </c>
      <c r="J73" s="132" t="s">
        <v>167</v>
      </c>
      <c r="K73" s="133">
        <v>3208192.4</v>
      </c>
      <c r="L73" s="133">
        <v>3208192.4</v>
      </c>
      <c r="M73" s="133">
        <v>3119749.7293699998</v>
      </c>
      <c r="N73" s="117" t="s">
        <v>320</v>
      </c>
      <c r="O73" s="133"/>
      <c r="P73" s="133"/>
      <c r="Q73" s="133"/>
      <c r="R73" s="133">
        <f>1117989.4+54770.74936+1098067.9</f>
        <v>2270828.0493599996</v>
      </c>
      <c r="S73" s="138">
        <f>R73/M73</f>
        <v>0.72788789048747482</v>
      </c>
      <c r="T73" s="140">
        <v>44538</v>
      </c>
      <c r="U73" s="133">
        <f t="shared" si="0"/>
        <v>2270828.0493600001</v>
      </c>
      <c r="V73" s="133">
        <v>1171463.3</v>
      </c>
      <c r="W73" s="133">
        <v>1099364.74936</v>
      </c>
      <c r="X73" s="136"/>
      <c r="Y73" s="120">
        <f t="shared" si="1"/>
        <v>1098067.8999999999</v>
      </c>
      <c r="Z73" s="120">
        <v>933277.4</v>
      </c>
      <c r="AA73" s="120">
        <v>164790.5</v>
      </c>
      <c r="AB73" s="120"/>
      <c r="AC73" s="104"/>
    </row>
    <row r="74" spans="1:29" ht="51" customHeight="1" x14ac:dyDescent="0.3">
      <c r="A74" s="115">
        <v>3</v>
      </c>
      <c r="B74" s="128" t="s">
        <v>411</v>
      </c>
      <c r="C74" s="129" t="s">
        <v>261</v>
      </c>
      <c r="D74" s="115" t="s">
        <v>250</v>
      </c>
      <c r="E74" s="129" t="s">
        <v>251</v>
      </c>
      <c r="F74" s="118" t="s">
        <v>252</v>
      </c>
      <c r="G74" s="130">
        <v>1</v>
      </c>
      <c r="H74" s="130">
        <v>1</v>
      </c>
      <c r="I74" s="131" t="s">
        <v>175</v>
      </c>
      <c r="J74" s="131" t="s">
        <v>164</v>
      </c>
      <c r="K74" s="133">
        <v>364907.63</v>
      </c>
      <c r="L74" s="133">
        <v>364907.63</v>
      </c>
      <c r="M74" s="133">
        <v>0</v>
      </c>
      <c r="N74" s="117"/>
      <c r="O74" s="133"/>
      <c r="P74" s="133"/>
      <c r="Q74" s="133"/>
      <c r="R74" s="133">
        <v>57500</v>
      </c>
      <c r="S74" s="134">
        <v>0.159</v>
      </c>
      <c r="T74" s="140">
        <v>44124</v>
      </c>
      <c r="U74" s="133">
        <f t="shared" si="0"/>
        <v>57500</v>
      </c>
      <c r="V74" s="133">
        <v>57500</v>
      </c>
      <c r="W74" s="133"/>
      <c r="X74" s="136"/>
      <c r="Y74" s="120">
        <f t="shared" ref="Y74:Y80" si="3">Z74+AA74+AB74</f>
        <v>57500</v>
      </c>
      <c r="Z74" s="120">
        <v>57500</v>
      </c>
      <c r="AA74" s="120"/>
      <c r="AB74" s="120"/>
      <c r="AC74" s="104"/>
    </row>
    <row r="75" spans="1:29" ht="51" customHeight="1" x14ac:dyDescent="0.3">
      <c r="A75" s="115">
        <v>4</v>
      </c>
      <c r="B75" s="128" t="s">
        <v>412</v>
      </c>
      <c r="C75" s="129" t="s">
        <v>332</v>
      </c>
      <c r="D75" s="115" t="s">
        <v>250</v>
      </c>
      <c r="E75" s="129" t="s">
        <v>251</v>
      </c>
      <c r="F75" s="118" t="s">
        <v>252</v>
      </c>
      <c r="G75" s="130">
        <v>1</v>
      </c>
      <c r="H75" s="130">
        <v>1</v>
      </c>
      <c r="I75" s="131" t="s">
        <v>413</v>
      </c>
      <c r="J75" s="131" t="s">
        <v>167</v>
      </c>
      <c r="K75" s="133">
        <v>49508.61</v>
      </c>
      <c r="L75" s="133">
        <v>49261.06695</v>
      </c>
      <c r="M75" s="133">
        <v>45411.179510000002</v>
      </c>
      <c r="N75" s="167" t="s">
        <v>313</v>
      </c>
      <c r="O75" s="133">
        <f>K75-L75</f>
        <v>247.54305000000022</v>
      </c>
      <c r="P75" s="133">
        <v>4.6397000000000004</v>
      </c>
      <c r="Q75" s="133">
        <v>4.6397000000000004</v>
      </c>
      <c r="R75" s="133">
        <v>45411.179510000002</v>
      </c>
      <c r="S75" s="134">
        <v>1</v>
      </c>
      <c r="T75" s="135">
        <v>43723</v>
      </c>
      <c r="U75" s="133">
        <f t="shared" si="0"/>
        <v>45411.179510000002</v>
      </c>
      <c r="V75" s="133">
        <v>17959.75</v>
      </c>
      <c r="W75" s="133">
        <v>27451.429510000002</v>
      </c>
      <c r="X75" s="136"/>
      <c r="Y75" s="120">
        <f t="shared" si="3"/>
        <v>48577.5</v>
      </c>
      <c r="Z75" s="120">
        <v>17959.8</v>
      </c>
      <c r="AA75" s="120">
        <v>30617.7</v>
      </c>
      <c r="AB75" s="120"/>
      <c r="AC75" s="104"/>
    </row>
    <row r="76" spans="1:29" ht="51" customHeight="1" x14ac:dyDescent="0.3">
      <c r="A76" s="115">
        <v>5</v>
      </c>
      <c r="B76" s="128" t="s">
        <v>414</v>
      </c>
      <c r="C76" s="129" t="s">
        <v>332</v>
      </c>
      <c r="D76" s="115" t="s">
        <v>250</v>
      </c>
      <c r="E76" s="129" t="s">
        <v>251</v>
      </c>
      <c r="F76" s="118" t="s">
        <v>252</v>
      </c>
      <c r="G76" s="130">
        <v>1</v>
      </c>
      <c r="H76" s="130">
        <v>1</v>
      </c>
      <c r="I76" s="131" t="s">
        <v>415</v>
      </c>
      <c r="J76" s="131" t="s">
        <v>167</v>
      </c>
      <c r="K76" s="133">
        <v>54014.74</v>
      </c>
      <c r="L76" s="133">
        <v>53744.666299999997</v>
      </c>
      <c r="M76" s="133">
        <v>51895.985009999997</v>
      </c>
      <c r="N76" s="117" t="s">
        <v>280</v>
      </c>
      <c r="O76" s="133">
        <v>270.13299999999998</v>
      </c>
      <c r="P76" s="133">
        <v>4.6500000000000004</v>
      </c>
      <c r="Q76" s="133">
        <v>4.6500000000000004</v>
      </c>
      <c r="R76" s="133">
        <v>51895.985009999997</v>
      </c>
      <c r="S76" s="134">
        <v>1</v>
      </c>
      <c r="T76" s="135">
        <v>43728</v>
      </c>
      <c r="U76" s="133">
        <f t="shared" ref="U76:U80" si="4">V76+W76+X76</f>
        <v>51895.985009999997</v>
      </c>
      <c r="V76" s="133">
        <v>8000</v>
      </c>
      <c r="W76" s="133">
        <v>43895.985009999997</v>
      </c>
      <c r="X76" s="136"/>
      <c r="Y76" s="120">
        <f t="shared" si="3"/>
        <v>53729.4</v>
      </c>
      <c r="Z76" s="120">
        <v>8000</v>
      </c>
      <c r="AA76" s="120">
        <v>45729.4</v>
      </c>
      <c r="AB76" s="120"/>
      <c r="AC76" s="104"/>
    </row>
    <row r="77" spans="1:29" ht="51" customHeight="1" x14ac:dyDescent="0.3">
      <c r="A77" s="115">
        <v>6</v>
      </c>
      <c r="B77" s="128" t="s">
        <v>416</v>
      </c>
      <c r="C77" s="129" t="s">
        <v>332</v>
      </c>
      <c r="D77" s="115" t="s">
        <v>250</v>
      </c>
      <c r="E77" s="129" t="s">
        <v>251</v>
      </c>
      <c r="F77" s="118" t="s">
        <v>252</v>
      </c>
      <c r="G77" s="130">
        <v>1</v>
      </c>
      <c r="H77" s="130">
        <v>1</v>
      </c>
      <c r="I77" s="131" t="s">
        <v>417</v>
      </c>
      <c r="J77" s="131" t="s">
        <v>397</v>
      </c>
      <c r="K77" s="133">
        <v>109900</v>
      </c>
      <c r="L77" s="133">
        <v>109350.5</v>
      </c>
      <c r="M77" s="133">
        <v>105884</v>
      </c>
      <c r="N77" s="117" t="s">
        <v>320</v>
      </c>
      <c r="O77" s="133">
        <f>K77-L77</f>
        <v>549.5</v>
      </c>
      <c r="P77" s="133">
        <v>10.32</v>
      </c>
      <c r="Q77" s="133">
        <v>10.32</v>
      </c>
      <c r="R77" s="133">
        <v>105884.00599000001</v>
      </c>
      <c r="S77" s="134">
        <v>1</v>
      </c>
      <c r="T77" s="135">
        <v>43728</v>
      </c>
      <c r="U77" s="133">
        <f t="shared" si="4"/>
        <v>105884.00599000001</v>
      </c>
      <c r="V77" s="133">
        <v>15000</v>
      </c>
      <c r="W77" s="133">
        <v>90884.005990000005</v>
      </c>
      <c r="X77" s="136"/>
      <c r="Y77" s="120">
        <f t="shared" si="3"/>
        <v>64166.5</v>
      </c>
      <c r="Z77" s="120">
        <v>10000</v>
      </c>
      <c r="AA77" s="120">
        <v>54166.5</v>
      </c>
      <c r="AB77" s="120"/>
      <c r="AC77" s="104"/>
    </row>
    <row r="78" spans="1:29" ht="51" customHeight="1" x14ac:dyDescent="0.3">
      <c r="A78" s="115">
        <v>7</v>
      </c>
      <c r="B78" s="128" t="s">
        <v>418</v>
      </c>
      <c r="C78" s="129" t="s">
        <v>332</v>
      </c>
      <c r="D78" s="115" t="s">
        <v>250</v>
      </c>
      <c r="E78" s="129" t="s">
        <v>251</v>
      </c>
      <c r="F78" s="118" t="s">
        <v>252</v>
      </c>
      <c r="G78" s="130">
        <v>1</v>
      </c>
      <c r="H78" s="130">
        <v>1</v>
      </c>
      <c r="I78" s="131" t="s">
        <v>419</v>
      </c>
      <c r="J78" s="131" t="s">
        <v>158</v>
      </c>
      <c r="K78" s="133">
        <v>48791</v>
      </c>
      <c r="L78" s="133">
        <v>48059.135000000002</v>
      </c>
      <c r="M78" s="133">
        <v>46155.453099999999</v>
      </c>
      <c r="N78" s="117" t="s">
        <v>320</v>
      </c>
      <c r="O78" s="133"/>
      <c r="P78" s="133">
        <v>4</v>
      </c>
      <c r="Q78" s="133">
        <v>4</v>
      </c>
      <c r="R78" s="133">
        <v>46155.453099999999</v>
      </c>
      <c r="S78" s="134">
        <v>1</v>
      </c>
      <c r="T78" s="135">
        <v>43723</v>
      </c>
      <c r="U78" s="133">
        <f t="shared" si="4"/>
        <v>46155.453099999999</v>
      </c>
      <c r="V78" s="133">
        <v>44000</v>
      </c>
      <c r="W78" s="133">
        <v>2155.4531000000002</v>
      </c>
      <c r="X78" s="136"/>
      <c r="Y78" s="120">
        <f t="shared" si="3"/>
        <v>48059.199999999997</v>
      </c>
      <c r="Z78" s="120">
        <v>44000</v>
      </c>
      <c r="AA78" s="120">
        <v>4059.2</v>
      </c>
      <c r="AB78" s="120"/>
      <c r="AC78" s="104"/>
    </row>
    <row r="79" spans="1:29" ht="51" customHeight="1" x14ac:dyDescent="0.3">
      <c r="A79" s="115">
        <v>8</v>
      </c>
      <c r="B79" s="128" t="s">
        <v>420</v>
      </c>
      <c r="C79" s="129" t="s">
        <v>332</v>
      </c>
      <c r="D79" s="115" t="s">
        <v>250</v>
      </c>
      <c r="E79" s="129" t="s">
        <v>251</v>
      </c>
      <c r="F79" s="118" t="s">
        <v>252</v>
      </c>
      <c r="G79" s="130">
        <v>1</v>
      </c>
      <c r="H79" s="130">
        <v>1</v>
      </c>
      <c r="I79" s="131" t="s">
        <v>421</v>
      </c>
      <c r="J79" s="131" t="s">
        <v>422</v>
      </c>
      <c r="K79" s="133">
        <v>22899.919999999998</v>
      </c>
      <c r="L79" s="133">
        <v>22670.9208</v>
      </c>
      <c r="M79" s="133">
        <v>21953.9431</v>
      </c>
      <c r="N79" s="117"/>
      <c r="O79" s="133">
        <f>K79-L79</f>
        <v>228.99919999999838</v>
      </c>
      <c r="P79" s="133">
        <v>1.99</v>
      </c>
      <c r="Q79" s="133">
        <v>1.99</v>
      </c>
      <c r="R79" s="133">
        <v>21953.9431</v>
      </c>
      <c r="S79" s="134">
        <v>1</v>
      </c>
      <c r="T79" s="135">
        <v>43738</v>
      </c>
      <c r="U79" s="133">
        <f t="shared" si="4"/>
        <v>21953.9431</v>
      </c>
      <c r="V79" s="133">
        <v>20000</v>
      </c>
      <c r="W79" s="133">
        <v>1953.9431</v>
      </c>
      <c r="X79" s="136"/>
      <c r="Y79" s="120">
        <f t="shared" si="3"/>
        <v>21954</v>
      </c>
      <c r="Z79" s="120">
        <v>20000</v>
      </c>
      <c r="AA79" s="120">
        <v>1954</v>
      </c>
      <c r="AB79" s="120"/>
      <c r="AC79" s="104"/>
    </row>
    <row r="80" spans="1:29" ht="51" customHeight="1" x14ac:dyDescent="0.3">
      <c r="A80" s="115">
        <v>9</v>
      </c>
      <c r="B80" s="160" t="s">
        <v>423</v>
      </c>
      <c r="C80" s="149" t="s">
        <v>332</v>
      </c>
      <c r="D80" s="115" t="s">
        <v>250</v>
      </c>
      <c r="E80" s="129" t="s">
        <v>251</v>
      </c>
      <c r="F80" s="118" t="s">
        <v>252</v>
      </c>
      <c r="G80" s="130">
        <v>1</v>
      </c>
      <c r="H80" s="130">
        <v>1</v>
      </c>
      <c r="I80" s="131" t="s">
        <v>424</v>
      </c>
      <c r="J80" s="131" t="s">
        <v>425</v>
      </c>
      <c r="K80" s="133">
        <v>11246.39</v>
      </c>
      <c r="L80" s="133">
        <v>11133.93</v>
      </c>
      <c r="M80" s="133">
        <v>11133.926100000001</v>
      </c>
      <c r="N80" s="146"/>
      <c r="O80" s="133">
        <v>112.46</v>
      </c>
      <c r="P80" s="133">
        <v>0.5</v>
      </c>
      <c r="Q80" s="115">
        <v>0.7</v>
      </c>
      <c r="R80" s="133">
        <v>11133.93</v>
      </c>
      <c r="S80" s="134">
        <v>1</v>
      </c>
      <c r="T80" s="168">
        <v>43779</v>
      </c>
      <c r="U80" s="133">
        <f t="shared" si="4"/>
        <v>11133.926100000001</v>
      </c>
      <c r="V80" s="159"/>
      <c r="W80" s="133">
        <v>11133.926100000001</v>
      </c>
      <c r="X80" s="148"/>
      <c r="Y80" s="120">
        <f t="shared" si="3"/>
        <v>11134</v>
      </c>
      <c r="Z80" s="120"/>
      <c r="AA80" s="120">
        <v>11000</v>
      </c>
      <c r="AB80" s="120">
        <v>134</v>
      </c>
      <c r="AC80" s="114"/>
    </row>
    <row r="81" spans="1:29" ht="18.75" x14ac:dyDescent="0.3">
      <c r="A81" s="222" t="s">
        <v>426</v>
      </c>
      <c r="B81" s="223"/>
      <c r="C81" s="129"/>
      <c r="D81" s="115"/>
      <c r="E81" s="129"/>
      <c r="F81" s="129"/>
      <c r="G81" s="169">
        <f>SUM(G9:G79)</f>
        <v>69</v>
      </c>
      <c r="H81" s="169">
        <f>SUM(H9:H79)</f>
        <v>69</v>
      </c>
      <c r="I81" s="169"/>
      <c r="J81" s="169"/>
      <c r="K81" s="170">
        <f>SUM(K9:K80)</f>
        <v>18143995.22704</v>
      </c>
      <c r="L81" s="170">
        <f>SUM(L9:L80)</f>
        <v>18060751.421440002</v>
      </c>
      <c r="M81" s="170">
        <f>SUM(M9:M80)</f>
        <v>16861482.278169997</v>
      </c>
      <c r="N81" s="171">
        <f>SUM(N9:N79)</f>
        <v>0</v>
      </c>
      <c r="O81" s="170">
        <f>SUM(O9:O80)</f>
        <v>78350.486950000006</v>
      </c>
      <c r="P81" s="170">
        <f>SUM(P9:P80)</f>
        <v>162.44670000000002</v>
      </c>
      <c r="Q81" s="170">
        <f>SUM(Q9:Q80)</f>
        <v>164.33516999999998</v>
      </c>
      <c r="R81" s="170">
        <f>SUM(R9:R80)</f>
        <v>6287142.89059</v>
      </c>
      <c r="S81" s="170"/>
      <c r="T81" s="172"/>
      <c r="U81" s="170">
        <f>SUM(U9:U80)</f>
        <v>6349915.2943099998</v>
      </c>
      <c r="V81" s="170">
        <f t="shared" ref="V81:W81" si="5">SUM(V9:V80)</f>
        <v>3015885.6149800001</v>
      </c>
      <c r="W81" s="170">
        <f t="shared" si="5"/>
        <v>3334029.6793299997</v>
      </c>
      <c r="X81" s="171">
        <f>SUM(X9:X79)</f>
        <v>0</v>
      </c>
      <c r="Y81" s="173">
        <f>SUM(Z81:AB81)</f>
        <v>4325259.1035399996</v>
      </c>
      <c r="Z81" s="173">
        <f>SUM(Z9:Z80)</f>
        <v>2579034.9035399999</v>
      </c>
      <c r="AA81" s="173">
        <f>SUM(AA9:AA80)</f>
        <v>1563566.4</v>
      </c>
      <c r="AB81" s="173">
        <f>SUM(AB9:AB80)</f>
        <v>182657.8</v>
      </c>
      <c r="AC81" s="104"/>
    </row>
    <row r="82" spans="1:29" ht="18.75" x14ac:dyDescent="0.3">
      <c r="A82" s="174"/>
      <c r="B82" s="174"/>
      <c r="C82" s="174"/>
      <c r="D82" s="175"/>
      <c r="E82" s="174"/>
      <c r="F82" s="174"/>
      <c r="G82" s="174"/>
      <c r="H82" s="174"/>
      <c r="I82" s="174"/>
      <c r="J82" s="174"/>
      <c r="K82" s="176"/>
      <c r="L82" s="176"/>
      <c r="M82" s="176"/>
      <c r="N82" s="177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06"/>
      <c r="Z82" s="106"/>
      <c r="AA82" s="106"/>
      <c r="AB82" s="106"/>
      <c r="AC82" s="104"/>
    </row>
    <row r="83" spans="1:29" ht="18.75" x14ac:dyDescent="0.3">
      <c r="A83" s="224" t="s">
        <v>427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106"/>
      <c r="Z83" s="106"/>
      <c r="AA83" s="106"/>
      <c r="AB83" s="106"/>
      <c r="AC83" s="104"/>
    </row>
  </sheetData>
  <mergeCells count="53">
    <mergeCell ref="AA64:AA65"/>
    <mergeCell ref="AB64:AB65"/>
    <mergeCell ref="A71:D71"/>
    <mergeCell ref="A81:B81"/>
    <mergeCell ref="A83:X83"/>
    <mergeCell ref="H64:H65"/>
    <mergeCell ref="P64:P65"/>
    <mergeCell ref="Q64:Q65"/>
    <mergeCell ref="S64:S65"/>
    <mergeCell ref="Y64:Y65"/>
    <mergeCell ref="Z64:Z65"/>
    <mergeCell ref="A64:A65"/>
    <mergeCell ref="B64:B65"/>
    <mergeCell ref="D64:D65"/>
    <mergeCell ref="E64:E65"/>
    <mergeCell ref="F64:F65"/>
    <mergeCell ref="G64:G65"/>
    <mergeCell ref="B58:B59"/>
    <mergeCell ref="C58:C59"/>
    <mergeCell ref="Y58:Y59"/>
    <mergeCell ref="Z58:Z59"/>
    <mergeCell ref="AA58:AA59"/>
    <mergeCell ref="AB58:AB59"/>
    <mergeCell ref="B55:B56"/>
    <mergeCell ref="C55:C56"/>
    <mergeCell ref="Y55:Y56"/>
    <mergeCell ref="Z55:Z56"/>
    <mergeCell ref="AA55:AA56"/>
    <mergeCell ref="AB55:AB56"/>
    <mergeCell ref="S4:S6"/>
    <mergeCell ref="T4:T6"/>
    <mergeCell ref="U4:X5"/>
    <mergeCell ref="Y4:AB5"/>
    <mergeCell ref="Y36:Y37"/>
    <mergeCell ref="Z36:Z37"/>
    <mergeCell ref="AA36:AA37"/>
    <mergeCell ref="AB36:AB37"/>
    <mergeCell ref="R4:R6"/>
    <mergeCell ref="A2:X2"/>
    <mergeCell ref="A4:A6"/>
    <mergeCell ref="B4:B6"/>
    <mergeCell ref="C4:C6"/>
    <mergeCell ref="D4:D6"/>
    <mergeCell ref="E4:E6"/>
    <mergeCell ref="F4:F6"/>
    <mergeCell ref="G4:H5"/>
    <mergeCell ref="I4:I6"/>
    <mergeCell ref="J4:J6"/>
    <mergeCell ref="K4:K6"/>
    <mergeCell ref="L4:N5"/>
    <mergeCell ref="O4:O6"/>
    <mergeCell ref="P4:P6"/>
    <mergeCell ref="Q4:Q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7"/>
  <sheetViews>
    <sheetView showZeros="0" tabSelected="1" view="pageBreakPreview" zoomScale="70" zoomScaleNormal="4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57" sqref="K57"/>
    </sheetView>
  </sheetViews>
  <sheetFormatPr defaultColWidth="8.85546875" defaultRowHeight="15.75" x14ac:dyDescent="0.25"/>
  <cols>
    <col min="1" max="1" width="5" style="3" customWidth="1"/>
    <col min="2" max="2" width="71.7109375" style="1" customWidth="1"/>
    <col min="3" max="3" width="16.140625" style="3" customWidth="1"/>
    <col min="4" max="4" width="13.140625" style="3" customWidth="1"/>
    <col min="5" max="5" width="12.28515625" style="13" customWidth="1"/>
    <col min="6" max="6" width="12.5703125" style="34" customWidth="1"/>
    <col min="7" max="7" width="29.42578125" style="1" customWidth="1"/>
    <col min="8" max="8" width="15.5703125" style="2" customWidth="1"/>
    <col min="9" max="9" width="15" style="2" customWidth="1"/>
    <col min="10" max="10" width="13" style="55" customWidth="1"/>
    <col min="11" max="11" width="17.140625" style="40" customWidth="1"/>
    <col min="12" max="12" width="18.140625" style="15" customWidth="1"/>
    <col min="13" max="13" width="18.5703125" style="16" customWidth="1"/>
    <col min="14" max="14" width="23.85546875" style="15" customWidth="1"/>
    <col min="15" max="15" width="19.28515625" style="56" customWidth="1"/>
    <col min="16" max="16" width="17.7109375" style="66" customWidth="1"/>
    <col min="17" max="17" width="8.85546875" style="1"/>
    <col min="18" max="18" width="17.140625" style="1" customWidth="1"/>
    <col min="19" max="19" width="14" style="1" bestFit="1" customWidth="1"/>
    <col min="20" max="16384" width="8.85546875" style="1"/>
  </cols>
  <sheetData>
    <row r="1" spans="1:18" ht="48" customHeight="1" x14ac:dyDescent="0.25">
      <c r="A1" s="229" t="s">
        <v>204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18" ht="31.9" customHeight="1" x14ac:dyDescent="0.25">
      <c r="A2" s="230" t="s">
        <v>0</v>
      </c>
      <c r="B2" s="230" t="s">
        <v>65</v>
      </c>
      <c r="C2" s="230" t="s">
        <v>76</v>
      </c>
      <c r="D2" s="230" t="s">
        <v>215</v>
      </c>
      <c r="E2" s="259" t="s">
        <v>77</v>
      </c>
      <c r="F2" s="260" t="s">
        <v>78</v>
      </c>
      <c r="G2" s="230" t="s">
        <v>145</v>
      </c>
      <c r="H2" s="258" t="s">
        <v>213</v>
      </c>
      <c r="I2" s="258"/>
      <c r="J2" s="258"/>
      <c r="K2" s="258"/>
      <c r="L2" s="258" t="s">
        <v>214</v>
      </c>
      <c r="M2" s="258"/>
      <c r="N2" s="258"/>
      <c r="O2" s="258"/>
      <c r="P2" s="258"/>
    </row>
    <row r="3" spans="1:18" ht="60.75" customHeight="1" x14ac:dyDescent="0.25">
      <c r="A3" s="230"/>
      <c r="B3" s="230"/>
      <c r="C3" s="230"/>
      <c r="D3" s="230"/>
      <c r="E3" s="259"/>
      <c r="F3" s="260"/>
      <c r="G3" s="230"/>
      <c r="H3" s="23" t="s">
        <v>93</v>
      </c>
      <c r="I3" s="23" t="s">
        <v>64</v>
      </c>
      <c r="J3" s="39" t="s">
        <v>208</v>
      </c>
      <c r="K3" s="39" t="s">
        <v>144</v>
      </c>
      <c r="L3" s="24" t="s">
        <v>93</v>
      </c>
      <c r="M3" s="25" t="s">
        <v>64</v>
      </c>
      <c r="N3" s="24" t="s">
        <v>210</v>
      </c>
      <c r="O3" s="39" t="s">
        <v>143</v>
      </c>
      <c r="P3" s="60" t="s">
        <v>144</v>
      </c>
    </row>
    <row r="4" spans="1:18" s="4" customFormat="1" ht="24" customHeight="1" x14ac:dyDescent="0.25">
      <c r="A4" s="231" t="s">
        <v>70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3"/>
    </row>
    <row r="5" spans="1:18" s="4" customFormat="1" ht="37.5" customHeight="1" x14ac:dyDescent="0.25">
      <c r="A5" s="183">
        <v>1</v>
      </c>
      <c r="B5" s="27" t="s">
        <v>94</v>
      </c>
      <c r="C5" s="26">
        <v>44063</v>
      </c>
      <c r="D5" s="26">
        <v>44113</v>
      </c>
      <c r="E5" s="185">
        <v>0.40500000000000003</v>
      </c>
      <c r="F5" s="179">
        <v>0.40500000000000003</v>
      </c>
      <c r="G5" s="21" t="s">
        <v>146</v>
      </c>
      <c r="H5" s="182">
        <v>41762.800000000003</v>
      </c>
      <c r="I5" s="180"/>
      <c r="J5" s="182">
        <v>38344.5</v>
      </c>
      <c r="K5" s="182">
        <v>3418.3</v>
      </c>
      <c r="L5" s="87">
        <f>M5+N5</f>
        <v>40953319.240000002</v>
      </c>
      <c r="M5" s="28">
        <v>0</v>
      </c>
      <c r="N5" s="57">
        <f>38344500+2608819.24</f>
        <v>40953319.240000002</v>
      </c>
      <c r="O5" s="28">
        <f t="shared" ref="O5:O55" si="0">N5-P5</f>
        <v>38344500</v>
      </c>
      <c r="P5" s="59">
        <v>2608819.2400000002</v>
      </c>
      <c r="R5" s="92">
        <f>O5-J5*1000</f>
        <v>0</v>
      </c>
    </row>
    <row r="6" spans="1:18" s="4" customFormat="1" ht="33.75" customHeight="1" x14ac:dyDescent="0.25">
      <c r="A6" s="183">
        <v>2</v>
      </c>
      <c r="B6" s="27" t="s">
        <v>95</v>
      </c>
      <c r="C6" s="26">
        <v>44046</v>
      </c>
      <c r="D6" s="18">
        <v>44165</v>
      </c>
      <c r="E6" s="185">
        <v>0.78</v>
      </c>
      <c r="F6" s="30">
        <v>0.78500000000000003</v>
      </c>
      <c r="G6" s="21" t="s">
        <v>147</v>
      </c>
      <c r="H6" s="182">
        <v>36226.800000000003</v>
      </c>
      <c r="I6" s="180">
        <v>10692.4</v>
      </c>
      <c r="J6" s="180">
        <v>23264</v>
      </c>
      <c r="K6" s="180">
        <v>2270.4</v>
      </c>
      <c r="L6" s="87">
        <f t="shared" ref="L6:L55" si="1">M6+N6</f>
        <v>35373250.799999997</v>
      </c>
      <c r="M6" s="28">
        <v>10692400</v>
      </c>
      <c r="N6" s="7">
        <f>23264000+1416850.8</f>
        <v>24680850.800000001</v>
      </c>
      <c r="O6" s="28">
        <f>N6-P6</f>
        <v>23264000</v>
      </c>
      <c r="P6" s="59">
        <v>1416850.8</v>
      </c>
      <c r="R6" s="92">
        <f t="shared" ref="R6:R8" si="2">O6-J6*1000</f>
        <v>0</v>
      </c>
    </row>
    <row r="7" spans="1:18" s="20" customFormat="1" ht="36.75" customHeight="1" x14ac:dyDescent="0.25">
      <c r="A7" s="183">
        <v>3</v>
      </c>
      <c r="B7" s="27" t="s">
        <v>96</v>
      </c>
      <c r="C7" s="26">
        <v>44103</v>
      </c>
      <c r="D7" s="26">
        <v>44124</v>
      </c>
      <c r="E7" s="185">
        <v>3</v>
      </c>
      <c r="F7" s="179">
        <v>3</v>
      </c>
      <c r="G7" s="21" t="s">
        <v>148</v>
      </c>
      <c r="H7" s="182">
        <v>30574.6</v>
      </c>
      <c r="I7" s="180"/>
      <c r="J7" s="180">
        <v>29000</v>
      </c>
      <c r="K7" s="180">
        <v>1574.6</v>
      </c>
      <c r="L7" s="87">
        <f t="shared" si="1"/>
        <v>29600737.93</v>
      </c>
      <c r="M7" s="28">
        <v>0</v>
      </c>
      <c r="N7" s="57">
        <f>29000000+600737.93</f>
        <v>29600737.93</v>
      </c>
      <c r="O7" s="28">
        <f>N7-P7</f>
        <v>29000000</v>
      </c>
      <c r="P7" s="59">
        <v>600737.93000000005</v>
      </c>
      <c r="R7" s="92">
        <f t="shared" si="2"/>
        <v>0</v>
      </c>
    </row>
    <row r="8" spans="1:18" s="4" customFormat="1" ht="31.5" x14ac:dyDescent="0.25">
      <c r="A8" s="183">
        <v>4</v>
      </c>
      <c r="B8" s="27" t="s">
        <v>97</v>
      </c>
      <c r="C8" s="26">
        <v>43960</v>
      </c>
      <c r="D8" s="19" t="s">
        <v>195</v>
      </c>
      <c r="E8" s="185" t="s">
        <v>132</v>
      </c>
      <c r="F8" s="31" t="s">
        <v>132</v>
      </c>
      <c r="G8" s="21" t="s">
        <v>149</v>
      </c>
      <c r="H8" s="182">
        <f t="shared" ref="H8:H26" si="3">I8+J8+K8</f>
        <v>34530.568999999996</v>
      </c>
      <c r="I8" s="180"/>
      <c r="J8" s="180">
        <v>32472.6</v>
      </c>
      <c r="K8" s="180">
        <v>2057.9690000000001</v>
      </c>
      <c r="L8" s="87">
        <f t="shared" si="1"/>
        <v>34530569.740000002</v>
      </c>
      <c r="M8" s="28">
        <v>0</v>
      </c>
      <c r="N8" s="57">
        <f>30276752.86+4253816.88</f>
        <v>34530569.740000002</v>
      </c>
      <c r="O8" s="28">
        <f t="shared" si="0"/>
        <v>32472600.000000004</v>
      </c>
      <c r="P8" s="59">
        <v>2057969.74</v>
      </c>
      <c r="R8" s="92">
        <f t="shared" si="2"/>
        <v>0</v>
      </c>
    </row>
    <row r="9" spans="1:18" s="4" customFormat="1" ht="63" x14ac:dyDescent="0.25">
      <c r="A9" s="183">
        <v>5</v>
      </c>
      <c r="B9" s="27" t="s">
        <v>98</v>
      </c>
      <c r="C9" s="26">
        <v>44119</v>
      </c>
      <c r="D9" s="97" t="s">
        <v>216</v>
      </c>
      <c r="E9" s="97"/>
      <c r="F9" s="179"/>
      <c r="G9" s="21" t="s">
        <v>150</v>
      </c>
      <c r="H9" s="182">
        <v>82938</v>
      </c>
      <c r="I9" s="180"/>
      <c r="J9" s="180">
        <v>65000</v>
      </c>
      <c r="K9" s="180">
        <v>12618</v>
      </c>
      <c r="L9" s="87">
        <f t="shared" si="1"/>
        <v>62350800.579999998</v>
      </c>
      <c r="M9" s="28">
        <v>0</v>
      </c>
      <c r="N9" s="57">
        <f>42390910.95+19959889.63</f>
        <v>62350800.579999998</v>
      </c>
      <c r="O9" s="59">
        <f t="shared" si="0"/>
        <v>62350800.579999998</v>
      </c>
      <c r="P9" s="59">
        <v>0</v>
      </c>
      <c r="R9" s="92"/>
    </row>
    <row r="10" spans="1:18" s="4" customFormat="1" ht="47.25" x14ac:dyDescent="0.25">
      <c r="A10" s="183">
        <v>6</v>
      </c>
      <c r="B10" s="27" t="s">
        <v>99</v>
      </c>
      <c r="C10" s="26">
        <v>44124</v>
      </c>
      <c r="D10" s="18">
        <v>44154</v>
      </c>
      <c r="E10" s="185">
        <v>4.7</v>
      </c>
      <c r="F10" s="31">
        <v>4.7</v>
      </c>
      <c r="G10" s="21" t="s">
        <v>149</v>
      </c>
      <c r="H10" s="182">
        <v>261902.6</v>
      </c>
      <c r="I10" s="180">
        <f>160000+28000</f>
        <v>188000</v>
      </c>
      <c r="J10" s="180">
        <f>78653.5+37000</f>
        <v>115653.5</v>
      </c>
      <c r="K10" s="180">
        <f>23249.1+7674.8</f>
        <v>30923.899999999998</v>
      </c>
      <c r="L10" s="87">
        <f t="shared" si="1"/>
        <v>308521722.19999999</v>
      </c>
      <c r="M10" s="28">
        <f>172396000+15604000</f>
        <v>188000000</v>
      </c>
      <c r="N10" s="57">
        <f>115653500+4868222.2</f>
        <v>120521722.2</v>
      </c>
      <c r="O10" s="59">
        <f t="shared" si="0"/>
        <v>115653500</v>
      </c>
      <c r="P10" s="59">
        <v>4868222.2</v>
      </c>
      <c r="R10" s="92"/>
    </row>
    <row r="11" spans="1:18" s="20" customFormat="1" ht="31.5" x14ac:dyDescent="0.25">
      <c r="A11" s="183">
        <v>7</v>
      </c>
      <c r="B11" s="27" t="s">
        <v>100</v>
      </c>
      <c r="C11" s="26">
        <v>44058</v>
      </c>
      <c r="D11" s="26">
        <v>44098</v>
      </c>
      <c r="E11" s="185">
        <v>5</v>
      </c>
      <c r="F11" s="179">
        <v>5</v>
      </c>
      <c r="G11" s="21" t="s">
        <v>151</v>
      </c>
      <c r="H11" s="182">
        <v>31087.5</v>
      </c>
      <c r="I11" s="180"/>
      <c r="J11" s="180">
        <v>31087.5</v>
      </c>
      <c r="K11" s="180"/>
      <c r="L11" s="87">
        <f t="shared" si="1"/>
        <v>31087484.710000001</v>
      </c>
      <c r="M11" s="28">
        <v>0</v>
      </c>
      <c r="N11" s="57">
        <f>21430443.73+9657040.98</f>
        <v>31087484.710000001</v>
      </c>
      <c r="O11" s="59">
        <f t="shared" si="0"/>
        <v>31087484.710000001</v>
      </c>
      <c r="P11" s="59">
        <v>0</v>
      </c>
      <c r="R11" s="92"/>
    </row>
    <row r="12" spans="1:18" s="4" customFormat="1" ht="31.5" x14ac:dyDescent="0.25">
      <c r="A12" s="183">
        <v>8</v>
      </c>
      <c r="B12" s="27" t="s">
        <v>101</v>
      </c>
      <c r="C12" s="26">
        <v>44116</v>
      </c>
      <c r="D12" s="19" t="s">
        <v>195</v>
      </c>
      <c r="E12" s="185" t="s">
        <v>133</v>
      </c>
      <c r="F12" s="31" t="s">
        <v>133</v>
      </c>
      <c r="G12" s="21" t="s">
        <v>152</v>
      </c>
      <c r="H12" s="182">
        <v>55235.3</v>
      </c>
      <c r="I12" s="180"/>
      <c r="J12" s="180">
        <v>50860</v>
      </c>
      <c r="K12" s="180">
        <v>4375.3</v>
      </c>
      <c r="L12" s="87">
        <f t="shared" si="1"/>
        <v>54762805.280000001</v>
      </c>
      <c r="M12" s="28">
        <v>0</v>
      </c>
      <c r="N12" s="57">
        <v>54762805.280000001</v>
      </c>
      <c r="O12" s="59">
        <f t="shared" si="0"/>
        <v>50860000</v>
      </c>
      <c r="P12" s="59">
        <v>3902805.28</v>
      </c>
      <c r="R12" s="92"/>
    </row>
    <row r="13" spans="1:18" s="4" customFormat="1" ht="31.5" x14ac:dyDescent="0.25">
      <c r="A13" s="245">
        <v>9</v>
      </c>
      <c r="B13" s="27" t="s">
        <v>102</v>
      </c>
      <c r="C13" s="26">
        <v>44116</v>
      </c>
      <c r="D13" s="19" t="s">
        <v>201</v>
      </c>
      <c r="E13" s="247">
        <v>3.8730000000000002</v>
      </c>
      <c r="F13" s="30">
        <v>2.7323000000000004</v>
      </c>
      <c r="G13" s="21" t="s">
        <v>153</v>
      </c>
      <c r="H13" s="244">
        <v>195007.2</v>
      </c>
      <c r="I13" s="243"/>
      <c r="J13" s="243">
        <v>110000</v>
      </c>
      <c r="K13" s="243">
        <v>85007.2</v>
      </c>
      <c r="L13" s="87">
        <f t="shared" si="1"/>
        <v>124571663.25</v>
      </c>
      <c r="M13" s="28">
        <v>0</v>
      </c>
      <c r="N13" s="57">
        <f>107391355.15+17180308.1</f>
        <v>124571663.25</v>
      </c>
      <c r="O13" s="59">
        <f t="shared" si="0"/>
        <v>107391355.15000001</v>
      </c>
      <c r="P13" s="59">
        <v>17180308.100000001</v>
      </c>
      <c r="R13" s="92"/>
    </row>
    <row r="14" spans="1:18" s="4" customFormat="1" ht="31.5" x14ac:dyDescent="0.25">
      <c r="A14" s="245"/>
      <c r="B14" s="27" t="s">
        <v>102</v>
      </c>
      <c r="C14" s="26">
        <v>44134</v>
      </c>
      <c r="D14" s="19" t="s">
        <v>196</v>
      </c>
      <c r="E14" s="247"/>
      <c r="F14" s="30">
        <v>1.1376999999999999</v>
      </c>
      <c r="G14" s="21" t="s">
        <v>148</v>
      </c>
      <c r="H14" s="244"/>
      <c r="I14" s="243"/>
      <c r="J14" s="243"/>
      <c r="K14" s="243"/>
      <c r="L14" s="87">
        <f t="shared" si="1"/>
        <v>55525109.769999996</v>
      </c>
      <c r="M14" s="28">
        <v>0</v>
      </c>
      <c r="N14" s="57">
        <f>32138500+23386609.77</f>
        <v>55525109.769999996</v>
      </c>
      <c r="O14" s="59">
        <f t="shared" si="0"/>
        <v>2608644.849999994</v>
      </c>
      <c r="P14" s="59">
        <f>29672678.45+23243786.47</f>
        <v>52916464.920000002</v>
      </c>
      <c r="R14" s="92"/>
    </row>
    <row r="15" spans="1:18" s="20" customFormat="1" ht="31.5" x14ac:dyDescent="0.25">
      <c r="A15" s="183">
        <v>10</v>
      </c>
      <c r="B15" s="27" t="s">
        <v>103</v>
      </c>
      <c r="C15" s="26">
        <v>44027</v>
      </c>
      <c r="D15" s="19" t="s">
        <v>134</v>
      </c>
      <c r="E15" s="185">
        <v>3.18</v>
      </c>
      <c r="F15" s="30">
        <v>3.1890000000000001</v>
      </c>
      <c r="G15" s="21" t="s">
        <v>146</v>
      </c>
      <c r="H15" s="182">
        <v>27087.1</v>
      </c>
      <c r="I15" s="180"/>
      <c r="J15" s="180">
        <v>25512.9</v>
      </c>
      <c r="K15" s="180">
        <v>1574.2</v>
      </c>
      <c r="L15" s="87">
        <f t="shared" si="1"/>
        <v>27086856.350000001</v>
      </c>
      <c r="M15" s="28">
        <v>0</v>
      </c>
      <c r="N15" s="57">
        <v>27086856.350000001</v>
      </c>
      <c r="O15" s="59">
        <f t="shared" si="0"/>
        <v>25512852.650000002</v>
      </c>
      <c r="P15" s="59">
        <v>1574003.7</v>
      </c>
      <c r="R15" s="92"/>
    </row>
    <row r="16" spans="1:18" s="20" customFormat="1" ht="31.5" x14ac:dyDescent="0.25">
      <c r="A16" s="183">
        <v>11</v>
      </c>
      <c r="B16" s="27" t="s">
        <v>104</v>
      </c>
      <c r="C16" s="26">
        <v>44058</v>
      </c>
      <c r="D16" s="19" t="s">
        <v>183</v>
      </c>
      <c r="E16" s="185">
        <v>8</v>
      </c>
      <c r="F16" s="30">
        <v>8</v>
      </c>
      <c r="G16" s="21" t="s">
        <v>154</v>
      </c>
      <c r="H16" s="182">
        <v>140570.20000000001</v>
      </c>
      <c r="I16" s="180"/>
      <c r="J16" s="180">
        <v>136275.20000000001</v>
      </c>
      <c r="K16" s="180">
        <v>4295</v>
      </c>
      <c r="L16" s="87">
        <f t="shared" si="1"/>
        <v>137759590.92000002</v>
      </c>
      <c r="M16" s="28">
        <v>0</v>
      </c>
      <c r="N16" s="57">
        <f>127965889.7+9793701.22</f>
        <v>137759590.92000002</v>
      </c>
      <c r="O16" s="59">
        <f t="shared" si="0"/>
        <v>136275200.00000003</v>
      </c>
      <c r="P16" s="59">
        <v>1484390.92</v>
      </c>
      <c r="R16" s="92"/>
    </row>
    <row r="17" spans="1:19" s="20" customFormat="1" ht="31.5" x14ac:dyDescent="0.25">
      <c r="A17" s="183">
        <v>12</v>
      </c>
      <c r="B17" s="27" t="s">
        <v>105</v>
      </c>
      <c r="C17" s="26">
        <v>44037</v>
      </c>
      <c r="D17" s="26">
        <v>44085</v>
      </c>
      <c r="E17" s="185">
        <v>1.1000000000000001</v>
      </c>
      <c r="F17" s="179">
        <v>1.103</v>
      </c>
      <c r="G17" s="21" t="s">
        <v>148</v>
      </c>
      <c r="H17" s="182">
        <v>16199.6</v>
      </c>
      <c r="I17" s="180"/>
      <c r="J17" s="180">
        <v>15614.6</v>
      </c>
      <c r="K17" s="180">
        <v>585</v>
      </c>
      <c r="L17" s="87">
        <f t="shared" si="1"/>
        <v>15696905.16</v>
      </c>
      <c r="M17" s="28">
        <v>0</v>
      </c>
      <c r="N17" s="57">
        <f>15614600+82305.16</f>
        <v>15696905.16</v>
      </c>
      <c r="O17" s="59">
        <f t="shared" si="0"/>
        <v>15614600</v>
      </c>
      <c r="P17" s="59">
        <v>82305.16</v>
      </c>
      <c r="R17" s="92"/>
    </row>
    <row r="18" spans="1:19" s="20" customFormat="1" ht="31.5" x14ac:dyDescent="0.25">
      <c r="A18" s="183">
        <v>13</v>
      </c>
      <c r="B18" s="27" t="s">
        <v>106</v>
      </c>
      <c r="C18" s="26">
        <v>44032</v>
      </c>
      <c r="D18" s="19" t="s">
        <v>135</v>
      </c>
      <c r="E18" s="185">
        <v>2.5579999999999998</v>
      </c>
      <c r="F18" s="30">
        <v>2.5579999999999998</v>
      </c>
      <c r="G18" s="21" t="s">
        <v>146</v>
      </c>
      <c r="H18" s="182">
        <f t="shared" si="3"/>
        <v>22775.7</v>
      </c>
      <c r="I18" s="180"/>
      <c r="J18" s="180">
        <v>22450.7</v>
      </c>
      <c r="K18" s="180">
        <v>325</v>
      </c>
      <c r="L18" s="87">
        <f t="shared" si="1"/>
        <v>22775563.850000001</v>
      </c>
      <c r="M18" s="28">
        <v>0</v>
      </c>
      <c r="N18" s="57">
        <v>22775563.850000001</v>
      </c>
      <c r="O18" s="59">
        <f t="shared" si="0"/>
        <v>22450674.550000001</v>
      </c>
      <c r="P18" s="59">
        <v>324889.3</v>
      </c>
      <c r="R18" s="92"/>
    </row>
    <row r="19" spans="1:19" s="20" customFormat="1" ht="31.5" x14ac:dyDescent="0.25">
      <c r="A19" s="183">
        <v>14</v>
      </c>
      <c r="B19" s="27" t="s">
        <v>107</v>
      </c>
      <c r="C19" s="26">
        <v>44063</v>
      </c>
      <c r="D19" s="19" t="s">
        <v>184</v>
      </c>
      <c r="E19" s="185">
        <v>4.76</v>
      </c>
      <c r="F19" s="30">
        <v>4.7590000000000003</v>
      </c>
      <c r="G19" s="21" t="s">
        <v>148</v>
      </c>
      <c r="H19" s="182">
        <f t="shared" si="3"/>
        <v>30357.55</v>
      </c>
      <c r="I19" s="180"/>
      <c r="J19" s="180">
        <v>29357.599999999999</v>
      </c>
      <c r="K19" s="180">
        <v>999.95</v>
      </c>
      <c r="L19" s="87">
        <f t="shared" si="1"/>
        <v>29391860.16</v>
      </c>
      <c r="M19" s="28">
        <v>0</v>
      </c>
      <c r="N19" s="57">
        <f>15000000+14391860.16</f>
        <v>29391860.16</v>
      </c>
      <c r="O19" s="59">
        <f t="shared" si="0"/>
        <v>29357600</v>
      </c>
      <c r="P19" s="59">
        <v>34260.160000000003</v>
      </c>
      <c r="R19" s="92"/>
    </row>
    <row r="20" spans="1:19" s="20" customFormat="1" ht="31.5" x14ac:dyDescent="0.25">
      <c r="A20" s="183">
        <v>15</v>
      </c>
      <c r="B20" s="27" t="s">
        <v>108</v>
      </c>
      <c r="C20" s="26">
        <v>44037</v>
      </c>
      <c r="D20" s="26">
        <v>44145</v>
      </c>
      <c r="E20" s="185">
        <v>2</v>
      </c>
      <c r="F20" s="179">
        <v>2</v>
      </c>
      <c r="G20" s="21" t="s">
        <v>148</v>
      </c>
      <c r="H20" s="182">
        <f t="shared" si="3"/>
        <v>27770.5</v>
      </c>
      <c r="I20" s="180"/>
      <c r="J20" s="180">
        <v>26770.5</v>
      </c>
      <c r="K20" s="180">
        <v>1000</v>
      </c>
      <c r="L20" s="87">
        <f t="shared" si="1"/>
        <v>26887136.350000001</v>
      </c>
      <c r="M20" s="28">
        <v>0</v>
      </c>
      <c r="N20" s="57">
        <f>26770500+116636.35</f>
        <v>26887136.350000001</v>
      </c>
      <c r="O20" s="59">
        <f t="shared" si="0"/>
        <v>26770500</v>
      </c>
      <c r="P20" s="59">
        <v>116636.35</v>
      </c>
      <c r="R20" s="92"/>
    </row>
    <row r="21" spans="1:19" s="20" customFormat="1" ht="31.5" customHeight="1" x14ac:dyDescent="0.25">
      <c r="A21" s="252">
        <v>16</v>
      </c>
      <c r="B21" s="27" t="s">
        <v>109</v>
      </c>
      <c r="C21" s="26">
        <v>44022</v>
      </c>
      <c r="D21" s="26">
        <v>44046</v>
      </c>
      <c r="E21" s="35">
        <v>1</v>
      </c>
      <c r="F21" s="30">
        <v>1</v>
      </c>
      <c r="G21" s="21" t="s">
        <v>155</v>
      </c>
      <c r="H21" s="248">
        <v>31796</v>
      </c>
      <c r="I21" s="250"/>
      <c r="J21" s="250">
        <v>31136</v>
      </c>
      <c r="K21" s="250">
        <v>660</v>
      </c>
      <c r="L21" s="261">
        <f>M21+N21</f>
        <v>31135913.579999998</v>
      </c>
      <c r="M21" s="263">
        <v>0</v>
      </c>
      <c r="N21" s="265">
        <f>9020501.59+22115411.99</f>
        <v>31135913.579999998</v>
      </c>
      <c r="O21" s="267">
        <f>N21-P21</f>
        <v>31135913.579999998</v>
      </c>
      <c r="P21" s="267">
        <v>0</v>
      </c>
      <c r="R21" s="92"/>
    </row>
    <row r="22" spans="1:19" s="20" customFormat="1" ht="39" customHeight="1" x14ac:dyDescent="0.25">
      <c r="A22" s="253"/>
      <c r="B22" s="27" t="s">
        <v>109</v>
      </c>
      <c r="C22" s="26">
        <v>44056</v>
      </c>
      <c r="D22" s="18">
        <v>44062</v>
      </c>
      <c r="E22" s="35">
        <v>3</v>
      </c>
      <c r="F22" s="30">
        <v>3</v>
      </c>
      <c r="G22" s="21" t="s">
        <v>155</v>
      </c>
      <c r="H22" s="249"/>
      <c r="I22" s="251"/>
      <c r="J22" s="251"/>
      <c r="K22" s="251"/>
      <c r="L22" s="262"/>
      <c r="M22" s="264"/>
      <c r="N22" s="266"/>
      <c r="O22" s="268"/>
      <c r="P22" s="268"/>
      <c r="R22" s="92"/>
    </row>
    <row r="23" spans="1:19" s="20" customFormat="1" ht="31.5" x14ac:dyDescent="0.25">
      <c r="A23" s="183">
        <v>17</v>
      </c>
      <c r="B23" s="27" t="s">
        <v>110</v>
      </c>
      <c r="C23" s="26">
        <v>44058</v>
      </c>
      <c r="D23" s="18">
        <v>44058</v>
      </c>
      <c r="E23" s="185">
        <v>2.5</v>
      </c>
      <c r="F23" s="30">
        <v>2.5</v>
      </c>
      <c r="G23" s="21" t="s">
        <v>156</v>
      </c>
      <c r="H23" s="182">
        <v>24251.4</v>
      </c>
      <c r="I23" s="180"/>
      <c r="J23" s="180">
        <v>23251.4</v>
      </c>
      <c r="K23" s="180">
        <v>1000</v>
      </c>
      <c r="L23" s="87">
        <f t="shared" si="1"/>
        <v>24251301.789999999</v>
      </c>
      <c r="M23" s="28">
        <v>0</v>
      </c>
      <c r="N23" s="57">
        <v>24251301.789999999</v>
      </c>
      <c r="O23" s="59">
        <f t="shared" si="0"/>
        <v>23251400</v>
      </c>
      <c r="P23" s="59">
        <v>999901.79</v>
      </c>
      <c r="R23" s="92"/>
    </row>
    <row r="24" spans="1:19" s="20" customFormat="1" ht="31.5" x14ac:dyDescent="0.25">
      <c r="A24" s="183">
        <v>18</v>
      </c>
      <c r="B24" s="27" t="s">
        <v>111</v>
      </c>
      <c r="C24" s="26">
        <v>44037</v>
      </c>
      <c r="D24" s="19" t="s">
        <v>136</v>
      </c>
      <c r="E24" s="185">
        <v>3</v>
      </c>
      <c r="F24" s="30">
        <v>2.9950000000000001</v>
      </c>
      <c r="G24" s="21" t="s">
        <v>157</v>
      </c>
      <c r="H24" s="182">
        <v>17453.400000000001</v>
      </c>
      <c r="I24" s="180"/>
      <c r="J24" s="180">
        <v>16440.599999999999</v>
      </c>
      <c r="K24" s="180">
        <v>1012.8</v>
      </c>
      <c r="L24" s="87">
        <f t="shared" si="1"/>
        <v>17453395.969999999</v>
      </c>
      <c r="M24" s="28">
        <v>0</v>
      </c>
      <c r="N24" s="57">
        <v>17453395.969999999</v>
      </c>
      <c r="O24" s="59">
        <f t="shared" si="0"/>
        <v>16440599.999999998</v>
      </c>
      <c r="P24" s="59">
        <v>1012795.97</v>
      </c>
      <c r="R24" s="92"/>
    </row>
    <row r="25" spans="1:19" s="20" customFormat="1" ht="31.5" x14ac:dyDescent="0.25">
      <c r="A25" s="183">
        <v>19</v>
      </c>
      <c r="B25" s="27" t="s">
        <v>112</v>
      </c>
      <c r="C25" s="26">
        <v>44042</v>
      </c>
      <c r="D25" s="19" t="s">
        <v>137</v>
      </c>
      <c r="E25" s="185">
        <v>2</v>
      </c>
      <c r="F25" s="30">
        <v>2</v>
      </c>
      <c r="G25" s="21" t="s">
        <v>148</v>
      </c>
      <c r="H25" s="182">
        <v>26262.7</v>
      </c>
      <c r="I25" s="180"/>
      <c r="J25" s="180">
        <v>22652.7</v>
      </c>
      <c r="K25" s="180">
        <v>3610</v>
      </c>
      <c r="L25" s="87">
        <f t="shared" si="1"/>
        <v>25042309.899999999</v>
      </c>
      <c r="M25" s="28">
        <v>0</v>
      </c>
      <c r="N25" s="57">
        <f>22568123.14+2474186.76</f>
        <v>25042309.899999999</v>
      </c>
      <c r="O25" s="59">
        <f t="shared" si="0"/>
        <v>22652700</v>
      </c>
      <c r="P25" s="59">
        <v>2389609.9</v>
      </c>
      <c r="R25" s="92"/>
    </row>
    <row r="26" spans="1:19" s="20" customFormat="1" ht="31.5" x14ac:dyDescent="0.25">
      <c r="A26" s="183">
        <v>20</v>
      </c>
      <c r="B26" s="27" t="s">
        <v>113</v>
      </c>
      <c r="C26" s="26">
        <v>44046</v>
      </c>
      <c r="D26" s="19" t="s">
        <v>138</v>
      </c>
      <c r="E26" s="35">
        <v>2.17</v>
      </c>
      <c r="F26" s="30">
        <v>2.17</v>
      </c>
      <c r="G26" s="21" t="s">
        <v>157</v>
      </c>
      <c r="H26" s="182">
        <f t="shared" si="3"/>
        <v>29949.997100000001</v>
      </c>
      <c r="I26" s="180"/>
      <c r="J26" s="180">
        <v>28234.400000000001</v>
      </c>
      <c r="K26" s="180">
        <v>1715.5971</v>
      </c>
      <c r="L26" s="87">
        <f t="shared" si="1"/>
        <v>29948508.559999999</v>
      </c>
      <c r="M26" s="28">
        <v>0</v>
      </c>
      <c r="N26" s="57">
        <f>28234400+1714108.56</f>
        <v>29948508.559999999</v>
      </c>
      <c r="O26" s="59">
        <f t="shared" si="0"/>
        <v>28234400</v>
      </c>
      <c r="P26" s="59">
        <v>1714108.56</v>
      </c>
      <c r="R26" s="92"/>
    </row>
    <row r="27" spans="1:19" s="20" customFormat="1" ht="31.5" customHeight="1" x14ac:dyDescent="0.25">
      <c r="A27" s="245">
        <v>21</v>
      </c>
      <c r="B27" s="256" t="s">
        <v>114</v>
      </c>
      <c r="C27" s="26">
        <v>44027</v>
      </c>
      <c r="D27" s="18">
        <v>44046</v>
      </c>
      <c r="E27" s="185">
        <v>2</v>
      </c>
      <c r="F27" s="30">
        <v>2</v>
      </c>
      <c r="G27" s="21" t="s">
        <v>146</v>
      </c>
      <c r="H27" s="244">
        <f>I27+J27+K27</f>
        <v>65523.40004</v>
      </c>
      <c r="I27" s="250"/>
      <c r="J27" s="243">
        <v>62523.4</v>
      </c>
      <c r="K27" s="243">
        <f>984.95075+2015.04929</f>
        <v>3000.0000399999999</v>
      </c>
      <c r="L27" s="87">
        <f t="shared" si="1"/>
        <v>23682589.039999999</v>
      </c>
      <c r="M27" s="28">
        <v>0</v>
      </c>
      <c r="N27" s="57">
        <f>23682589.04</f>
        <v>23682589.039999999</v>
      </c>
      <c r="O27" s="59">
        <f t="shared" si="0"/>
        <v>23491560.5</v>
      </c>
      <c r="P27" s="59">
        <v>191028.54</v>
      </c>
      <c r="R27" s="92"/>
    </row>
    <row r="28" spans="1:19" s="20" customFormat="1" ht="23.25" customHeight="1" x14ac:dyDescent="0.25">
      <c r="A28" s="245"/>
      <c r="B28" s="257"/>
      <c r="C28" s="26">
        <v>44053</v>
      </c>
      <c r="D28" s="19" t="s">
        <v>139</v>
      </c>
      <c r="E28" s="185">
        <v>5</v>
      </c>
      <c r="F28" s="30">
        <v>5</v>
      </c>
      <c r="G28" s="21" t="s">
        <v>148</v>
      </c>
      <c r="H28" s="244"/>
      <c r="I28" s="251"/>
      <c r="J28" s="243"/>
      <c r="K28" s="243"/>
      <c r="L28" s="87">
        <f t="shared" si="1"/>
        <v>39770100.830000006</v>
      </c>
      <c r="M28" s="28">
        <v>0</v>
      </c>
      <c r="N28" s="57">
        <f>39031761.24+738339.59</f>
        <v>39770100.830000006</v>
      </c>
      <c r="O28" s="59">
        <f t="shared" si="0"/>
        <v>39031761.240000002</v>
      </c>
      <c r="P28" s="59">
        <v>738339.59</v>
      </c>
      <c r="R28" s="92"/>
      <c r="S28" s="96"/>
    </row>
    <row r="29" spans="1:19" s="20" customFormat="1" ht="31.5" customHeight="1" x14ac:dyDescent="0.25">
      <c r="A29" s="254">
        <v>22</v>
      </c>
      <c r="B29" s="256" t="s">
        <v>115</v>
      </c>
      <c r="C29" s="26">
        <v>44027</v>
      </c>
      <c r="D29" s="18" t="s">
        <v>196</v>
      </c>
      <c r="E29" s="185">
        <v>2</v>
      </c>
      <c r="F29" s="30">
        <v>2</v>
      </c>
      <c r="G29" s="21" t="s">
        <v>209</v>
      </c>
      <c r="H29" s="182">
        <f>I29+J29+K29</f>
        <v>15426.7</v>
      </c>
      <c r="I29" s="178"/>
      <c r="J29" s="180"/>
      <c r="K29" s="180">
        <v>15426.7</v>
      </c>
      <c r="L29" s="87">
        <f t="shared" si="1"/>
        <v>15425360.66</v>
      </c>
      <c r="M29" s="28">
        <v>0</v>
      </c>
      <c r="N29" s="57">
        <f>15425360.66</f>
        <v>15425360.66</v>
      </c>
      <c r="O29" s="59">
        <f t="shared" si="0"/>
        <v>0</v>
      </c>
      <c r="P29" s="59">
        <v>15425360.66</v>
      </c>
      <c r="R29" s="92"/>
    </row>
    <row r="30" spans="1:19" s="20" customFormat="1" ht="31.5" customHeight="1" x14ac:dyDescent="0.25">
      <c r="A30" s="255"/>
      <c r="B30" s="257"/>
      <c r="C30" s="26">
        <v>44027</v>
      </c>
      <c r="D30" s="18">
        <v>44134</v>
      </c>
      <c r="E30" s="185">
        <v>2</v>
      </c>
      <c r="F30" s="30">
        <v>2</v>
      </c>
      <c r="G30" s="21" t="s">
        <v>148</v>
      </c>
      <c r="H30" s="182">
        <f>J30+K30</f>
        <v>15650.3</v>
      </c>
      <c r="I30" s="180"/>
      <c r="J30" s="180">
        <v>15160.9</v>
      </c>
      <c r="K30" s="180">
        <v>489.4</v>
      </c>
      <c r="L30" s="87">
        <f t="shared" si="1"/>
        <v>15650216.439999999</v>
      </c>
      <c r="M30" s="28">
        <v>0</v>
      </c>
      <c r="N30" s="57">
        <f>15160900+489316.44</f>
        <v>15650216.439999999</v>
      </c>
      <c r="O30" s="59">
        <f t="shared" si="0"/>
        <v>15160900</v>
      </c>
      <c r="P30" s="59">
        <v>489316.44</v>
      </c>
      <c r="R30" s="92"/>
    </row>
    <row r="31" spans="1:19" s="20" customFormat="1" ht="34.5" customHeight="1" x14ac:dyDescent="0.25">
      <c r="A31" s="183">
        <v>23</v>
      </c>
      <c r="B31" s="27" t="s">
        <v>116</v>
      </c>
      <c r="C31" s="26">
        <v>44037</v>
      </c>
      <c r="D31" s="18">
        <v>44027</v>
      </c>
      <c r="E31" s="185">
        <v>2</v>
      </c>
      <c r="F31" s="30">
        <v>2</v>
      </c>
      <c r="G31" s="21" t="s">
        <v>148</v>
      </c>
      <c r="H31" s="182">
        <f>I31+J31+K31</f>
        <v>18896.099999999999</v>
      </c>
      <c r="I31" s="180"/>
      <c r="J31" s="180">
        <v>17896.099999999999</v>
      </c>
      <c r="K31" s="180">
        <v>1000</v>
      </c>
      <c r="L31" s="87">
        <f t="shared" si="1"/>
        <v>18895989.530000001</v>
      </c>
      <c r="M31" s="28">
        <v>0</v>
      </c>
      <c r="N31" s="57">
        <f>17896062.43+999927.1</f>
        <v>18895989.530000001</v>
      </c>
      <c r="O31" s="59">
        <f t="shared" si="0"/>
        <v>17896062.43</v>
      </c>
      <c r="P31" s="59">
        <v>999927.1</v>
      </c>
      <c r="R31" s="92"/>
    </row>
    <row r="32" spans="1:19" s="20" customFormat="1" ht="27.75" customHeight="1" x14ac:dyDescent="0.25">
      <c r="A32" s="246">
        <v>24</v>
      </c>
      <c r="B32" s="256" t="s">
        <v>117</v>
      </c>
      <c r="C32" s="26">
        <v>44058</v>
      </c>
      <c r="D32" s="18">
        <v>44146</v>
      </c>
      <c r="E32" s="185">
        <v>6</v>
      </c>
      <c r="F32" s="30">
        <v>6</v>
      </c>
      <c r="G32" s="21" t="s">
        <v>148</v>
      </c>
      <c r="H32" s="244">
        <f>I32+J32+K32</f>
        <v>193317</v>
      </c>
      <c r="I32" s="243">
        <v>109450</v>
      </c>
      <c r="J32" s="243">
        <v>74922</v>
      </c>
      <c r="K32" s="243">
        <f>6965+1980</f>
        <v>8945</v>
      </c>
      <c r="L32" s="87">
        <f t="shared" si="1"/>
        <v>125257759.91</v>
      </c>
      <c r="M32" s="28">
        <f>34825000+74625000</f>
        <v>109450000</v>
      </c>
      <c r="N32" s="57">
        <f>15807759.91</f>
        <v>15807759.91</v>
      </c>
      <c r="O32" s="59">
        <f t="shared" si="0"/>
        <v>12959088.949999999</v>
      </c>
      <c r="P32" s="59">
        <v>2848670.96</v>
      </c>
      <c r="R32" s="92"/>
    </row>
    <row r="33" spans="1:19" s="20" customFormat="1" ht="30.75" customHeight="1" x14ac:dyDescent="0.25">
      <c r="A33" s="246"/>
      <c r="B33" s="257"/>
      <c r="C33" s="26">
        <v>44092</v>
      </c>
      <c r="D33" s="19" t="s">
        <v>185</v>
      </c>
      <c r="E33" s="185">
        <v>4</v>
      </c>
      <c r="F33" s="30">
        <v>4</v>
      </c>
      <c r="G33" s="21" t="s">
        <v>428</v>
      </c>
      <c r="H33" s="244"/>
      <c r="I33" s="243"/>
      <c r="J33" s="243"/>
      <c r="K33" s="243"/>
      <c r="L33" s="87">
        <f t="shared" si="1"/>
        <v>62101443.620000005</v>
      </c>
      <c r="M33" s="28">
        <v>0</v>
      </c>
      <c r="N33" s="57">
        <f>44278542+17822901.62</f>
        <v>62101443.620000005</v>
      </c>
      <c r="O33" s="59">
        <f t="shared" si="0"/>
        <v>61962852.600000001</v>
      </c>
      <c r="P33" s="59">
        <v>138591.01999999999</v>
      </c>
      <c r="R33" s="92"/>
      <c r="S33" s="96"/>
    </row>
    <row r="34" spans="1:19" s="20" customFormat="1" ht="31.5" x14ac:dyDescent="0.25">
      <c r="A34" s="183">
        <v>25</v>
      </c>
      <c r="B34" s="27" t="s">
        <v>118</v>
      </c>
      <c r="C34" s="26">
        <v>44048</v>
      </c>
      <c r="D34" s="19" t="s">
        <v>140</v>
      </c>
      <c r="E34" s="185">
        <v>4</v>
      </c>
      <c r="F34" s="30">
        <v>4</v>
      </c>
      <c r="G34" s="21" t="s">
        <v>158</v>
      </c>
      <c r="H34" s="182">
        <v>58871.9</v>
      </c>
      <c r="I34" s="180"/>
      <c r="J34" s="180">
        <v>56417</v>
      </c>
      <c r="K34" s="180">
        <v>2454.9</v>
      </c>
      <c r="L34" s="87">
        <f t="shared" si="1"/>
        <v>56998319.780000001</v>
      </c>
      <c r="M34" s="28">
        <v>0</v>
      </c>
      <c r="N34" s="57">
        <v>56998319.780000001</v>
      </c>
      <c r="O34" s="59">
        <f t="shared" si="0"/>
        <v>56417000</v>
      </c>
      <c r="P34" s="59">
        <v>581319.78</v>
      </c>
      <c r="R34" s="92"/>
    </row>
    <row r="35" spans="1:19" s="20" customFormat="1" ht="31.5" x14ac:dyDescent="0.25">
      <c r="A35" s="183">
        <v>26</v>
      </c>
      <c r="B35" s="27" t="s">
        <v>119</v>
      </c>
      <c r="C35" s="26">
        <v>45148</v>
      </c>
      <c r="D35" s="18">
        <v>44098</v>
      </c>
      <c r="E35" s="185">
        <v>5</v>
      </c>
      <c r="F35" s="30">
        <v>5</v>
      </c>
      <c r="G35" s="21" t="s">
        <v>148</v>
      </c>
      <c r="H35" s="182">
        <v>68344.5</v>
      </c>
      <c r="I35" s="180"/>
      <c r="J35" s="180">
        <v>66348.600000000006</v>
      </c>
      <c r="K35" s="180">
        <v>1995.9</v>
      </c>
      <c r="L35" s="87">
        <f t="shared" si="1"/>
        <v>66348522.719999999</v>
      </c>
      <c r="M35" s="28">
        <v>0</v>
      </c>
      <c r="N35" s="57">
        <f>43296285.12+23052237.6</f>
        <v>66348522.719999999</v>
      </c>
      <c r="O35" s="59">
        <f t="shared" si="0"/>
        <v>66348522.719999999</v>
      </c>
      <c r="P35" s="59">
        <v>0</v>
      </c>
      <c r="R35" s="92"/>
      <c r="S35" s="96"/>
    </row>
    <row r="36" spans="1:19" s="20" customFormat="1" ht="31.5" x14ac:dyDescent="0.25">
      <c r="A36" s="183">
        <v>27</v>
      </c>
      <c r="B36" s="27" t="s">
        <v>120</v>
      </c>
      <c r="C36" s="26">
        <v>44058</v>
      </c>
      <c r="D36" s="18">
        <v>44188</v>
      </c>
      <c r="E36" s="185">
        <v>4</v>
      </c>
      <c r="F36" s="30">
        <v>4</v>
      </c>
      <c r="G36" s="21" t="s">
        <v>159</v>
      </c>
      <c r="H36" s="182">
        <v>69583.3</v>
      </c>
      <c r="I36" s="180">
        <v>22057.599999999999</v>
      </c>
      <c r="J36" s="180">
        <v>44327.8</v>
      </c>
      <c r="K36" s="180">
        <v>3197.9</v>
      </c>
      <c r="L36" s="87">
        <f t="shared" si="1"/>
        <v>43780000</v>
      </c>
      <c r="M36" s="28">
        <f>3980000+18077600</f>
        <v>22057600</v>
      </c>
      <c r="N36" s="57">
        <f>21722400</f>
        <v>21722400</v>
      </c>
      <c r="O36" s="68">
        <f t="shared" si="0"/>
        <v>21722400</v>
      </c>
      <c r="P36" s="59">
        <v>0</v>
      </c>
      <c r="R36" s="92"/>
    </row>
    <row r="37" spans="1:19" s="20" customFormat="1" ht="30.75" customHeight="1" x14ac:dyDescent="0.25">
      <c r="A37" s="183">
        <v>28</v>
      </c>
      <c r="B37" s="27" t="s">
        <v>121</v>
      </c>
      <c r="C37" s="26">
        <v>44063</v>
      </c>
      <c r="D37" s="26">
        <v>44071</v>
      </c>
      <c r="E37" s="185">
        <v>3</v>
      </c>
      <c r="F37" s="179">
        <v>3</v>
      </c>
      <c r="G37" s="21" t="s">
        <v>148</v>
      </c>
      <c r="H37" s="182">
        <f t="shared" ref="H37" si="4">I37+J37+K37</f>
        <v>37345.99929</v>
      </c>
      <c r="I37" s="180"/>
      <c r="J37" s="180">
        <v>37345.99929</v>
      </c>
      <c r="K37" s="180"/>
      <c r="L37" s="87">
        <f t="shared" si="1"/>
        <v>37345999.289999999</v>
      </c>
      <c r="M37" s="28">
        <v>0</v>
      </c>
      <c r="N37" s="57">
        <v>37345999.289999999</v>
      </c>
      <c r="O37" s="59">
        <f t="shared" si="0"/>
        <v>37345999.289999999</v>
      </c>
      <c r="P37" s="59">
        <v>0</v>
      </c>
      <c r="R37" s="92"/>
    </row>
    <row r="38" spans="1:19" s="20" customFormat="1" ht="35.25" customHeight="1" x14ac:dyDescent="0.25">
      <c r="A38" s="183">
        <v>29</v>
      </c>
      <c r="B38" s="27" t="s">
        <v>122</v>
      </c>
      <c r="C38" s="26">
        <v>44058</v>
      </c>
      <c r="D38" s="19" t="s">
        <v>186</v>
      </c>
      <c r="E38" s="185">
        <v>3.3</v>
      </c>
      <c r="F38" s="30">
        <v>3.3</v>
      </c>
      <c r="G38" s="21" t="s">
        <v>148</v>
      </c>
      <c r="H38" s="182">
        <v>72748.100000000006</v>
      </c>
      <c r="I38" s="180"/>
      <c r="J38" s="180">
        <v>67598.8</v>
      </c>
      <c r="K38" s="180">
        <v>5149.3</v>
      </c>
      <c r="L38" s="87">
        <f t="shared" si="1"/>
        <v>68749934.980000004</v>
      </c>
      <c r="M38" s="28">
        <v>0</v>
      </c>
      <c r="N38" s="57">
        <f>42800000+25949934.98</f>
        <v>68749934.980000004</v>
      </c>
      <c r="O38" s="59">
        <f t="shared" si="0"/>
        <v>67598800</v>
      </c>
      <c r="P38" s="59">
        <f>1151134.98</f>
        <v>1151134.98</v>
      </c>
      <c r="R38" s="92"/>
    </row>
    <row r="39" spans="1:19" s="20" customFormat="1" ht="33.75" customHeight="1" x14ac:dyDescent="0.25">
      <c r="A39" s="183">
        <v>30</v>
      </c>
      <c r="B39" s="27" t="s">
        <v>123</v>
      </c>
      <c r="C39" s="26">
        <v>44037</v>
      </c>
      <c r="D39" s="19" t="s">
        <v>141</v>
      </c>
      <c r="E39" s="35">
        <v>2</v>
      </c>
      <c r="F39" s="30">
        <v>2.0299999999999998</v>
      </c>
      <c r="G39" s="21" t="s">
        <v>160</v>
      </c>
      <c r="H39" s="182">
        <v>13030.7</v>
      </c>
      <c r="I39" s="180"/>
      <c r="J39" s="180">
        <v>13030.7</v>
      </c>
      <c r="K39" s="180"/>
      <c r="L39" s="87">
        <f t="shared" si="1"/>
        <v>13030657.1</v>
      </c>
      <c r="M39" s="28">
        <v>0</v>
      </c>
      <c r="N39" s="57">
        <v>13030657.1</v>
      </c>
      <c r="O39" s="59">
        <f t="shared" si="0"/>
        <v>13030657.1</v>
      </c>
      <c r="P39" s="59">
        <v>0</v>
      </c>
      <c r="R39" s="92"/>
      <c r="S39" s="92"/>
    </row>
    <row r="40" spans="1:19" s="20" customFormat="1" ht="31.5" x14ac:dyDescent="0.25">
      <c r="A40" s="183">
        <v>31</v>
      </c>
      <c r="B40" s="27" t="s">
        <v>124</v>
      </c>
      <c r="C40" s="26">
        <v>44042</v>
      </c>
      <c r="D40" s="18">
        <v>44042</v>
      </c>
      <c r="E40" s="185">
        <v>2.7</v>
      </c>
      <c r="F40" s="30">
        <v>2.7</v>
      </c>
      <c r="G40" s="21" t="s">
        <v>146</v>
      </c>
      <c r="H40" s="182">
        <v>26903.599999999999</v>
      </c>
      <c r="I40" s="180"/>
      <c r="J40" s="180">
        <v>26903.599999999999</v>
      </c>
      <c r="K40" s="180"/>
      <c r="L40" s="87">
        <f t="shared" si="1"/>
        <v>26903600</v>
      </c>
      <c r="M40" s="28">
        <v>0</v>
      </c>
      <c r="N40" s="57">
        <v>26903600</v>
      </c>
      <c r="O40" s="59">
        <f t="shared" si="0"/>
        <v>26903600</v>
      </c>
      <c r="P40" s="59">
        <v>0</v>
      </c>
      <c r="R40" s="92"/>
    </row>
    <row r="41" spans="1:19" s="4" customFormat="1" ht="31.5" x14ac:dyDescent="0.25">
      <c r="A41" s="183">
        <v>32</v>
      </c>
      <c r="B41" s="27" t="s">
        <v>125</v>
      </c>
      <c r="C41" s="26">
        <v>44134</v>
      </c>
      <c r="D41" s="18">
        <v>44120</v>
      </c>
      <c r="E41" s="185">
        <v>1.4770000000000001</v>
      </c>
      <c r="F41" s="31">
        <v>1.4770000000000001</v>
      </c>
      <c r="G41" s="21" t="s">
        <v>148</v>
      </c>
      <c r="H41" s="182">
        <v>83003.399999999994</v>
      </c>
      <c r="I41" s="180"/>
      <c r="J41" s="180">
        <v>72000</v>
      </c>
      <c r="K41" s="180">
        <v>11003.4</v>
      </c>
      <c r="L41" s="87">
        <f t="shared" si="1"/>
        <v>82177560</v>
      </c>
      <c r="M41" s="28">
        <v>0</v>
      </c>
      <c r="N41" s="57">
        <f>56911353.7+25266206.3</f>
        <v>82177560</v>
      </c>
      <c r="O41" s="59">
        <f t="shared" si="0"/>
        <v>72000000</v>
      </c>
      <c r="P41" s="59">
        <f>1561983.7+8615576.3</f>
        <v>10177560</v>
      </c>
      <c r="R41" s="92"/>
    </row>
    <row r="42" spans="1:19" s="4" customFormat="1" ht="47.25" x14ac:dyDescent="0.25">
      <c r="A42" s="183">
        <v>33</v>
      </c>
      <c r="B42" s="27" t="s">
        <v>126</v>
      </c>
      <c r="C42" s="26">
        <v>44842</v>
      </c>
      <c r="D42" s="19" t="s">
        <v>197</v>
      </c>
      <c r="E42" s="185">
        <v>4.5</v>
      </c>
      <c r="F42" s="31">
        <v>4.5</v>
      </c>
      <c r="G42" s="21" t="s">
        <v>148</v>
      </c>
      <c r="H42" s="244">
        <f>I42+J42+K42</f>
        <v>1210259.8999999999</v>
      </c>
      <c r="I42" s="243">
        <v>1041353.2</v>
      </c>
      <c r="J42" s="294">
        <f>92513</f>
        <v>92513</v>
      </c>
      <c r="K42" s="243">
        <v>76393.7</v>
      </c>
      <c r="L42" s="87">
        <f t="shared" si="1"/>
        <v>693086830.44000006</v>
      </c>
      <c r="M42" s="28">
        <v>590303200</v>
      </c>
      <c r="N42" s="57">
        <v>102783630.44</v>
      </c>
      <c r="O42" s="59">
        <f t="shared" si="0"/>
        <v>92513000</v>
      </c>
      <c r="P42" s="59">
        <v>10270630.439999999</v>
      </c>
      <c r="R42" s="92"/>
    </row>
    <row r="43" spans="1:19" s="4" customFormat="1" ht="47.25" x14ac:dyDescent="0.25">
      <c r="A43" s="183">
        <v>34</v>
      </c>
      <c r="B43" s="27" t="s">
        <v>127</v>
      </c>
      <c r="C43" s="26">
        <v>44538</v>
      </c>
      <c r="D43" s="19"/>
      <c r="E43" s="185"/>
      <c r="F43" s="30"/>
      <c r="G43" s="21" t="s">
        <v>148</v>
      </c>
      <c r="H43" s="244"/>
      <c r="I43" s="243"/>
      <c r="J43" s="294"/>
      <c r="K43" s="243"/>
      <c r="L43" s="87">
        <f t="shared" si="1"/>
        <v>451050025.89999998</v>
      </c>
      <c r="M43" s="59">
        <f>243397283.46+207652716.54+25.9</f>
        <v>451050025.89999998</v>
      </c>
      <c r="N43" s="7">
        <v>0</v>
      </c>
      <c r="O43" s="59">
        <f t="shared" si="0"/>
        <v>0</v>
      </c>
      <c r="P43" s="59">
        <v>0</v>
      </c>
      <c r="R43" s="92"/>
    </row>
    <row r="44" spans="1:19" s="67" customFormat="1" ht="15.75" customHeight="1" x14ac:dyDescent="0.25">
      <c r="A44" s="254">
        <v>35</v>
      </c>
      <c r="B44" s="288" t="s">
        <v>128</v>
      </c>
      <c r="C44" s="307">
        <v>44438</v>
      </c>
      <c r="D44" s="301"/>
      <c r="E44" s="304"/>
      <c r="F44" s="291"/>
      <c r="G44" s="21" t="s">
        <v>148</v>
      </c>
      <c r="H44" s="248">
        <v>125098.8</v>
      </c>
      <c r="I44" s="250">
        <v>2810.34337</v>
      </c>
      <c r="J44" s="250">
        <v>56537</v>
      </c>
      <c r="K44" s="250">
        <v>68561.8</v>
      </c>
      <c r="L44" s="87">
        <f t="shared" si="1"/>
        <v>14310343.370000001</v>
      </c>
      <c r="M44" s="59">
        <v>2810343.37</v>
      </c>
      <c r="N44" s="7">
        <v>11500000</v>
      </c>
      <c r="O44" s="59">
        <f t="shared" si="0"/>
        <v>11500000</v>
      </c>
      <c r="P44" s="59"/>
      <c r="R44" s="92"/>
    </row>
    <row r="45" spans="1:19" s="67" customFormat="1" ht="60" x14ac:dyDescent="0.25">
      <c r="A45" s="299"/>
      <c r="B45" s="289"/>
      <c r="C45" s="308"/>
      <c r="D45" s="302"/>
      <c r="E45" s="305"/>
      <c r="F45" s="292"/>
      <c r="G45" s="88" t="s">
        <v>211</v>
      </c>
      <c r="H45" s="298"/>
      <c r="I45" s="300"/>
      <c r="J45" s="300"/>
      <c r="K45" s="300"/>
      <c r="L45" s="87">
        <f t="shared" si="1"/>
        <v>5967511.5700000003</v>
      </c>
      <c r="M45" s="59"/>
      <c r="N45" s="7">
        <v>5967511.5700000003</v>
      </c>
      <c r="O45" s="59">
        <f t="shared" si="0"/>
        <v>5967511.5700000003</v>
      </c>
      <c r="P45" s="59">
        <v>0</v>
      </c>
      <c r="R45" s="92"/>
    </row>
    <row r="46" spans="1:19" s="67" customFormat="1" x14ac:dyDescent="0.25">
      <c r="A46" s="255"/>
      <c r="B46" s="290"/>
      <c r="C46" s="309"/>
      <c r="D46" s="303"/>
      <c r="E46" s="306"/>
      <c r="F46" s="293"/>
      <c r="G46" s="21" t="s">
        <v>161</v>
      </c>
      <c r="H46" s="249"/>
      <c r="I46" s="251"/>
      <c r="J46" s="251"/>
      <c r="K46" s="251"/>
      <c r="L46" s="87">
        <f t="shared" si="1"/>
        <v>26719199.620000001</v>
      </c>
      <c r="M46" s="59">
        <v>0</v>
      </c>
      <c r="N46" s="57">
        <f>O46+P46</f>
        <v>26719199.620000001</v>
      </c>
      <c r="O46" s="59">
        <v>26719199.620000001</v>
      </c>
      <c r="P46" s="59">
        <v>0</v>
      </c>
      <c r="R46" s="92"/>
      <c r="S46" s="93"/>
    </row>
    <row r="47" spans="1:19" s="20" customFormat="1" ht="32.25" customHeight="1" x14ac:dyDescent="0.25">
      <c r="A47" s="183">
        <v>36</v>
      </c>
      <c r="B47" s="27" t="s">
        <v>129</v>
      </c>
      <c r="C47" s="26">
        <v>44397</v>
      </c>
      <c r="D47" s="19" t="s">
        <v>187</v>
      </c>
      <c r="E47" s="35">
        <v>3</v>
      </c>
      <c r="F47" s="30">
        <v>3.081</v>
      </c>
      <c r="G47" s="21" t="s">
        <v>148</v>
      </c>
      <c r="H47" s="182">
        <v>34628.800000000003</v>
      </c>
      <c r="I47" s="180"/>
      <c r="J47" s="180">
        <v>31128.799999999999</v>
      </c>
      <c r="K47" s="180">
        <v>3500</v>
      </c>
      <c r="L47" s="87">
        <f t="shared" si="1"/>
        <v>34628800</v>
      </c>
      <c r="M47" s="28">
        <v>0</v>
      </c>
      <c r="N47" s="57">
        <f>11500000+23128800</f>
        <v>34628800</v>
      </c>
      <c r="O47" s="59">
        <f t="shared" si="0"/>
        <v>31128800</v>
      </c>
      <c r="P47" s="59">
        <v>3500000</v>
      </c>
      <c r="R47" s="92"/>
    </row>
    <row r="48" spans="1:19" s="20" customFormat="1" ht="34.5" customHeight="1" x14ac:dyDescent="0.25">
      <c r="A48" s="183">
        <v>37</v>
      </c>
      <c r="B48" s="27" t="s">
        <v>130</v>
      </c>
      <c r="C48" s="18">
        <v>44017</v>
      </c>
      <c r="D48" s="18">
        <v>44053</v>
      </c>
      <c r="E48" s="185">
        <v>4.9939999999999998</v>
      </c>
      <c r="F48" s="30">
        <v>4.99</v>
      </c>
      <c r="G48" s="21" t="s">
        <v>162</v>
      </c>
      <c r="H48" s="182">
        <v>55903.9</v>
      </c>
      <c r="I48" s="180"/>
      <c r="J48" s="180">
        <v>23223.9</v>
      </c>
      <c r="K48" s="180">
        <v>32680</v>
      </c>
      <c r="L48" s="87">
        <f t="shared" si="1"/>
        <v>55902487.030000001</v>
      </c>
      <c r="M48" s="28">
        <v>0</v>
      </c>
      <c r="N48" s="57">
        <v>55902487.030000001</v>
      </c>
      <c r="O48" s="59">
        <f t="shared" si="0"/>
        <v>23223900</v>
      </c>
      <c r="P48" s="59">
        <v>32678587.030000001</v>
      </c>
      <c r="R48" s="92"/>
    </row>
    <row r="49" spans="1:19" s="20" customFormat="1" ht="31.5" x14ac:dyDescent="0.25">
      <c r="A49" s="184">
        <v>38</v>
      </c>
      <c r="B49" s="27" t="s">
        <v>178</v>
      </c>
      <c r="C49" s="18">
        <v>44160</v>
      </c>
      <c r="D49" s="18">
        <v>44127</v>
      </c>
      <c r="E49" s="185">
        <v>2.8</v>
      </c>
      <c r="F49" s="30">
        <v>2.8</v>
      </c>
      <c r="G49" s="21" t="s">
        <v>148</v>
      </c>
      <c r="H49" s="181">
        <v>12231.9</v>
      </c>
      <c r="I49" s="181"/>
      <c r="J49" s="181">
        <v>9000</v>
      </c>
      <c r="K49" s="182">
        <v>3231.9</v>
      </c>
      <c r="L49" s="87">
        <f t="shared" si="1"/>
        <v>12231900</v>
      </c>
      <c r="M49" s="28"/>
      <c r="N49" s="57">
        <v>12231900</v>
      </c>
      <c r="O49" s="59">
        <f t="shared" si="0"/>
        <v>9000000</v>
      </c>
      <c r="P49" s="59">
        <v>3231900</v>
      </c>
      <c r="R49" s="92"/>
    </row>
    <row r="50" spans="1:19" s="20" customFormat="1" ht="42" customHeight="1" x14ac:dyDescent="0.25">
      <c r="A50" s="184">
        <v>39</v>
      </c>
      <c r="B50" s="27" t="s">
        <v>179</v>
      </c>
      <c r="C50" s="18">
        <v>44170</v>
      </c>
      <c r="D50" s="19" t="s">
        <v>203</v>
      </c>
      <c r="E50" s="185"/>
      <c r="F50" s="31"/>
      <c r="G50" s="21" t="s">
        <v>148</v>
      </c>
      <c r="H50" s="181">
        <v>37600</v>
      </c>
      <c r="I50" s="181"/>
      <c r="J50" s="181">
        <v>5449.2</v>
      </c>
      <c r="K50" s="182">
        <v>32150.799999999999</v>
      </c>
      <c r="L50" s="87">
        <f t="shared" si="1"/>
        <v>36258437.799999997</v>
      </c>
      <c r="M50" s="28"/>
      <c r="N50" s="57">
        <v>36258437.799999997</v>
      </c>
      <c r="O50" s="59">
        <f t="shared" si="0"/>
        <v>5449199.9999999963</v>
      </c>
      <c r="P50" s="59">
        <v>30809237.800000001</v>
      </c>
      <c r="R50" s="92"/>
    </row>
    <row r="51" spans="1:19" s="20" customFormat="1" ht="31.5" x14ac:dyDescent="0.25">
      <c r="A51" s="184">
        <v>40</v>
      </c>
      <c r="B51" s="27" t="s">
        <v>199</v>
      </c>
      <c r="C51" s="18">
        <v>44172</v>
      </c>
      <c r="D51" s="19" t="s">
        <v>205</v>
      </c>
      <c r="E51" s="185">
        <v>4.1820000000000004</v>
      </c>
      <c r="F51" s="30">
        <v>4.1820000000000004</v>
      </c>
      <c r="G51" s="22" t="s">
        <v>162</v>
      </c>
      <c r="H51" s="181">
        <v>47394.7</v>
      </c>
      <c r="I51" s="181"/>
      <c r="J51" s="181">
        <v>46325.8</v>
      </c>
      <c r="K51" s="182">
        <v>1068.9000000000001</v>
      </c>
      <c r="L51" s="87">
        <f t="shared" si="1"/>
        <v>45894841.439999998</v>
      </c>
      <c r="M51" s="28"/>
      <c r="N51" s="7">
        <f>45894841.44</f>
        <v>45894841.439999998</v>
      </c>
      <c r="O51" s="59">
        <f t="shared" si="0"/>
        <v>44825945.199999996</v>
      </c>
      <c r="P51" s="59">
        <f>1068896.24</f>
        <v>1068896.24</v>
      </c>
      <c r="R51" s="92"/>
    </row>
    <row r="52" spans="1:19" s="20" customFormat="1" ht="38.25" customHeight="1" x14ac:dyDescent="0.25">
      <c r="A52" s="184">
        <v>41</v>
      </c>
      <c r="B52" s="27" t="s">
        <v>180</v>
      </c>
      <c r="C52" s="18">
        <v>44089</v>
      </c>
      <c r="D52" s="19" t="s">
        <v>140</v>
      </c>
      <c r="E52" s="185">
        <v>2</v>
      </c>
      <c r="F52" s="30">
        <v>2</v>
      </c>
      <c r="G52" s="21" t="s">
        <v>148</v>
      </c>
      <c r="H52" s="181">
        <v>20974.2</v>
      </c>
      <c r="I52" s="181"/>
      <c r="J52" s="181">
        <v>10737.9</v>
      </c>
      <c r="K52" s="182">
        <v>10236.299999999999</v>
      </c>
      <c r="L52" s="87">
        <f t="shared" si="1"/>
        <v>19588183.25</v>
      </c>
      <c r="M52" s="28"/>
      <c r="N52" s="57">
        <v>19588183.25</v>
      </c>
      <c r="O52" s="59">
        <f t="shared" si="0"/>
        <v>10737900</v>
      </c>
      <c r="P52" s="59">
        <v>8850283.25</v>
      </c>
      <c r="R52" s="92"/>
    </row>
    <row r="53" spans="1:19" s="20" customFormat="1" ht="37.5" customHeight="1" x14ac:dyDescent="0.25">
      <c r="A53" s="184">
        <v>42</v>
      </c>
      <c r="B53" s="27" t="s">
        <v>181</v>
      </c>
      <c r="C53" s="18">
        <v>44070</v>
      </c>
      <c r="D53" s="19" t="s">
        <v>206</v>
      </c>
      <c r="E53" s="185">
        <v>1.94</v>
      </c>
      <c r="F53" s="31">
        <v>1.94</v>
      </c>
      <c r="G53" s="22" t="s">
        <v>182</v>
      </c>
      <c r="H53" s="181">
        <v>31280.400000000001</v>
      </c>
      <c r="I53" s="181"/>
      <c r="J53" s="181">
        <v>16082.2</v>
      </c>
      <c r="K53" s="182">
        <v>15738.2</v>
      </c>
      <c r="L53" s="87">
        <f t="shared" si="1"/>
        <v>31820400</v>
      </c>
      <c r="M53" s="28"/>
      <c r="N53" s="7">
        <f>16082200+15738200</f>
        <v>31820400</v>
      </c>
      <c r="O53" s="59">
        <f t="shared" si="0"/>
        <v>16082200</v>
      </c>
      <c r="P53" s="59">
        <v>15738200</v>
      </c>
      <c r="R53" s="92"/>
    </row>
    <row r="54" spans="1:19" s="4" customFormat="1" ht="32.25" customHeight="1" x14ac:dyDescent="0.25">
      <c r="A54" s="184">
        <v>43</v>
      </c>
      <c r="B54" s="27" t="s">
        <v>192</v>
      </c>
      <c r="C54" s="38">
        <v>43743</v>
      </c>
      <c r="D54" s="19"/>
      <c r="E54" s="185"/>
      <c r="F54" s="30"/>
      <c r="G54" s="22" t="s">
        <v>190</v>
      </c>
      <c r="H54" s="296">
        <f>5736.3-3389.2</f>
        <v>2347.1000000000004</v>
      </c>
      <c r="I54" s="296"/>
      <c r="J54" s="94">
        <f>5736.3-J57-J55</f>
        <v>2250.31765</v>
      </c>
      <c r="K54" s="248"/>
      <c r="L54" s="87">
        <f t="shared" si="1"/>
        <v>2250157.13</v>
      </c>
      <c r="M54" s="28"/>
      <c r="N54" s="59">
        <v>2250157.13</v>
      </c>
      <c r="O54" s="68">
        <f t="shared" si="0"/>
        <v>2250157.13</v>
      </c>
      <c r="P54" s="68">
        <v>0</v>
      </c>
      <c r="R54" s="92"/>
    </row>
    <row r="55" spans="1:19" s="4" customFormat="1" ht="47.25" x14ac:dyDescent="0.25">
      <c r="A55" s="184">
        <v>44</v>
      </c>
      <c r="B55" s="89" t="s">
        <v>193</v>
      </c>
      <c r="C55" s="18">
        <v>43976</v>
      </c>
      <c r="D55" s="19"/>
      <c r="E55" s="185"/>
      <c r="F55" s="30"/>
      <c r="G55" s="22" t="s">
        <v>190</v>
      </c>
      <c r="H55" s="297"/>
      <c r="I55" s="297"/>
      <c r="J55" s="95">
        <v>96.84</v>
      </c>
      <c r="K55" s="298"/>
      <c r="L55" s="87">
        <f t="shared" si="1"/>
        <v>96840</v>
      </c>
      <c r="M55" s="28"/>
      <c r="N55" s="57">
        <v>96840</v>
      </c>
      <c r="O55" s="68">
        <f t="shared" si="0"/>
        <v>96840</v>
      </c>
      <c r="P55" s="68">
        <v>0</v>
      </c>
      <c r="R55" s="92"/>
      <c r="S55" s="92"/>
    </row>
    <row r="56" spans="1:19" s="4" customFormat="1" ht="31.5" x14ac:dyDescent="0.25">
      <c r="A56" s="184">
        <v>45</v>
      </c>
      <c r="B56" s="27" t="s">
        <v>194</v>
      </c>
      <c r="C56" s="18"/>
      <c r="D56" s="19"/>
      <c r="E56" s="185"/>
      <c r="F56" s="30"/>
      <c r="G56" s="22" t="s">
        <v>189</v>
      </c>
      <c r="H56" s="181">
        <v>8359.7999999999993</v>
      </c>
      <c r="I56" s="181"/>
      <c r="J56" s="181">
        <v>3846.5</v>
      </c>
      <c r="K56" s="181">
        <v>4513.3</v>
      </c>
      <c r="L56" s="87">
        <f>M56+N56</f>
        <v>3846505.16</v>
      </c>
      <c r="M56" s="28"/>
      <c r="N56" s="57">
        <v>3846505.16</v>
      </c>
      <c r="O56" s="68">
        <f>N56-P56</f>
        <v>3846505.16</v>
      </c>
      <c r="P56" s="68"/>
      <c r="R56" s="92"/>
    </row>
    <row r="57" spans="1:19" s="4" customFormat="1" ht="52.5" customHeight="1" x14ac:dyDescent="0.25">
      <c r="A57" s="184">
        <v>46</v>
      </c>
      <c r="B57" s="90" t="s">
        <v>212</v>
      </c>
      <c r="C57" s="18"/>
      <c r="D57" s="19"/>
      <c r="E57" s="185"/>
      <c r="F57" s="30"/>
      <c r="G57" s="22" t="s">
        <v>190</v>
      </c>
      <c r="H57" s="181">
        <v>3389.1423500000001</v>
      </c>
      <c r="I57" s="181"/>
      <c r="J57" s="181">
        <v>3389.1423500000001</v>
      </c>
      <c r="K57" s="181"/>
      <c r="L57" s="87"/>
      <c r="M57" s="28"/>
      <c r="N57" s="57"/>
      <c r="O57" s="68">
        <v>3389142.35</v>
      </c>
      <c r="P57" s="68"/>
      <c r="R57" s="92"/>
    </row>
    <row r="58" spans="1:19" s="4" customFormat="1" ht="32.25" customHeight="1" x14ac:dyDescent="0.25">
      <c r="A58" s="184">
        <v>47</v>
      </c>
      <c r="B58" s="27" t="s">
        <v>200</v>
      </c>
      <c r="C58" s="18">
        <v>44027</v>
      </c>
      <c r="D58" s="19" t="s">
        <v>207</v>
      </c>
      <c r="E58" s="185">
        <v>3</v>
      </c>
      <c r="F58" s="30">
        <v>3</v>
      </c>
      <c r="G58" s="22" t="s">
        <v>202</v>
      </c>
      <c r="H58" s="181">
        <f>K58</f>
        <v>17385.505580000001</v>
      </c>
      <c r="I58" s="181"/>
      <c r="J58" s="181"/>
      <c r="K58" s="181">
        <v>17385.505580000001</v>
      </c>
      <c r="L58" s="87">
        <f>M58+N58</f>
        <v>17385505.579999998</v>
      </c>
      <c r="M58" s="28"/>
      <c r="N58" s="7">
        <f>0+P58</f>
        <v>17385505.579999998</v>
      </c>
      <c r="O58" s="59">
        <f>N58-P58</f>
        <v>0</v>
      </c>
      <c r="P58" s="68">
        <v>17385505.579999998</v>
      </c>
      <c r="R58" s="92"/>
    </row>
    <row r="59" spans="1:19" s="10" customFormat="1" ht="32.450000000000003" customHeight="1" x14ac:dyDescent="0.25">
      <c r="A59" s="231" t="s">
        <v>191</v>
      </c>
      <c r="B59" s="232"/>
      <c r="C59" s="29"/>
      <c r="D59" s="29"/>
      <c r="E59" s="36">
        <f>SUM(E5:E58)</f>
        <v>127.91900000000001</v>
      </c>
      <c r="F59" s="32">
        <f>SUM(F5:F58)</f>
        <v>128.03399999999999</v>
      </c>
      <c r="G59" s="29"/>
      <c r="H59" s="9">
        <f>I59+J59+K59</f>
        <v>3579943.8643800002</v>
      </c>
      <c r="I59" s="9">
        <f>SUM(I5:I58)</f>
        <v>1374363.5433699999</v>
      </c>
      <c r="J59" s="9">
        <f t="shared" ref="J59:K59" si="5">SUM(J5:J58)</f>
        <v>1728434.1992900001</v>
      </c>
      <c r="K59" s="9">
        <f t="shared" si="5"/>
        <v>477146.12172</v>
      </c>
      <c r="L59" s="58">
        <f>M59+N59</f>
        <v>3311862828.2799997</v>
      </c>
      <c r="M59" s="58">
        <f t="shared" ref="M59:P59" si="6">SUM(M5:M58)</f>
        <v>1374363569.27</v>
      </c>
      <c r="N59" s="9">
        <f t="shared" si="6"/>
        <v>1937499259.0099998</v>
      </c>
      <c r="O59" s="58">
        <f t="shared" si="6"/>
        <v>1689328831.9299998</v>
      </c>
      <c r="P59" s="58">
        <f t="shared" si="6"/>
        <v>251559569.43000001</v>
      </c>
      <c r="R59" s="92"/>
    </row>
    <row r="60" spans="1:19" s="10" customFormat="1" ht="32.450000000000003" customHeight="1" x14ac:dyDescent="0.25">
      <c r="A60" s="83"/>
      <c r="B60" s="84"/>
      <c r="C60" s="84"/>
      <c r="D60" s="84"/>
      <c r="E60" s="37"/>
      <c r="F60" s="33"/>
      <c r="G60" s="84"/>
      <c r="H60" s="9"/>
      <c r="I60" s="9"/>
      <c r="J60" s="9"/>
      <c r="K60" s="9"/>
      <c r="L60" s="9"/>
      <c r="M60" s="9"/>
      <c r="N60" s="9"/>
      <c r="O60" s="9"/>
      <c r="P60" s="58"/>
      <c r="R60" s="92"/>
    </row>
    <row r="61" spans="1:19" s="10" customFormat="1" ht="56.25" customHeight="1" x14ac:dyDescent="0.25">
      <c r="A61" s="85">
        <v>48</v>
      </c>
      <c r="B61" s="17" t="s">
        <v>131</v>
      </c>
      <c r="C61" s="18">
        <v>44155</v>
      </c>
      <c r="D61" s="19" t="s">
        <v>198</v>
      </c>
      <c r="E61" s="86">
        <v>12.486000000000001</v>
      </c>
      <c r="F61" s="31">
        <v>12.486000000000001</v>
      </c>
      <c r="G61" s="21" t="s">
        <v>148</v>
      </c>
      <c r="H61" s="295" t="s">
        <v>142</v>
      </c>
      <c r="I61" s="295"/>
      <c r="J61" s="295"/>
      <c r="K61" s="295"/>
      <c r="L61" s="87">
        <f>M61+N61</f>
        <v>380089178.75</v>
      </c>
      <c r="M61" s="59">
        <v>235497042.13999999</v>
      </c>
      <c r="N61" s="59">
        <v>144592136.61000001</v>
      </c>
      <c r="O61" s="59">
        <v>144592136.61000001</v>
      </c>
      <c r="P61" s="59">
        <v>0</v>
      </c>
    </row>
    <row r="62" spans="1:19" s="4" customFormat="1" ht="29.45" hidden="1" customHeight="1" x14ac:dyDescent="0.25">
      <c r="A62" s="230" t="s">
        <v>69</v>
      </c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</row>
    <row r="63" spans="1:19" s="4" customFormat="1" ht="37.9" hidden="1" customHeight="1" x14ac:dyDescent="0.25">
      <c r="A63" s="85">
        <v>1</v>
      </c>
      <c r="B63" s="5" t="s">
        <v>23</v>
      </c>
      <c r="C63" s="69" t="s">
        <v>61</v>
      </c>
      <c r="D63" s="73">
        <v>43699</v>
      </c>
      <c r="E63" s="41">
        <v>1.3</v>
      </c>
      <c r="F63" s="42">
        <v>1.3</v>
      </c>
      <c r="G63" s="284" t="s">
        <v>163</v>
      </c>
      <c r="H63" s="6">
        <f>SUM(I63:K63)</f>
        <v>3706.3592899999999</v>
      </c>
      <c r="I63" s="7">
        <v>0</v>
      </c>
      <c r="J63" s="7">
        <v>3706.3592899999999</v>
      </c>
      <c r="K63" s="7"/>
      <c r="L63" s="91">
        <f>SUM(M63:P63)</f>
        <v>3706.3592899999999</v>
      </c>
      <c r="M63" s="43">
        <v>0</v>
      </c>
      <c r="N63" s="44">
        <v>3706.3592899999999</v>
      </c>
      <c r="O63" s="43"/>
      <c r="P63" s="59"/>
    </row>
    <row r="64" spans="1:19" s="4" customFormat="1" ht="33" hidden="1" customHeight="1" x14ac:dyDescent="0.25">
      <c r="A64" s="85">
        <v>2</v>
      </c>
      <c r="B64" s="5" t="s">
        <v>24</v>
      </c>
      <c r="C64" s="69" t="s">
        <v>61</v>
      </c>
      <c r="D64" s="73">
        <v>43728</v>
      </c>
      <c r="E64" s="41">
        <v>3.1</v>
      </c>
      <c r="F64" s="42">
        <v>3.1</v>
      </c>
      <c r="G64" s="284"/>
      <c r="H64" s="6">
        <f>SUM(I64:K64)</f>
        <v>69372.08236</v>
      </c>
      <c r="I64" s="7">
        <v>0</v>
      </c>
      <c r="J64" s="7">
        <v>69372.08236</v>
      </c>
      <c r="K64" s="7"/>
      <c r="L64" s="91">
        <f>SUM(M64:P64)</f>
        <v>69372.08236</v>
      </c>
      <c r="M64" s="43">
        <v>0</v>
      </c>
      <c r="N64" s="44">
        <v>69372.08236</v>
      </c>
      <c r="O64" s="43"/>
      <c r="P64" s="59"/>
    </row>
    <row r="65" spans="1:16" s="4" customFormat="1" ht="37.9" hidden="1" customHeight="1" x14ac:dyDescent="0.25">
      <c r="A65" s="85">
        <v>3</v>
      </c>
      <c r="B65" s="5" t="s">
        <v>25</v>
      </c>
      <c r="C65" s="69" t="s">
        <v>61</v>
      </c>
      <c r="D65" s="73">
        <v>43710</v>
      </c>
      <c r="E65" s="41">
        <v>7.1</v>
      </c>
      <c r="F65" s="42">
        <v>7.1</v>
      </c>
      <c r="G65" s="69" t="s">
        <v>164</v>
      </c>
      <c r="H65" s="6">
        <f>SUM(I65:K65)</f>
        <v>141213.33549999999</v>
      </c>
      <c r="I65" s="7">
        <v>0</v>
      </c>
      <c r="J65" s="7">
        <v>141213.33549999999</v>
      </c>
      <c r="K65" s="7"/>
      <c r="L65" s="91">
        <f>SUM(M65:P65)</f>
        <v>141213.33549999999</v>
      </c>
      <c r="M65" s="43">
        <v>0</v>
      </c>
      <c r="N65" s="44">
        <v>141213.33549999999</v>
      </c>
      <c r="O65" s="43"/>
      <c r="P65" s="59"/>
    </row>
    <row r="66" spans="1:16" s="4" customFormat="1" ht="56.45" hidden="1" customHeight="1" x14ac:dyDescent="0.25">
      <c r="A66" s="85">
        <v>4</v>
      </c>
      <c r="B66" s="5" t="s">
        <v>26</v>
      </c>
      <c r="C66" s="69" t="s">
        <v>61</v>
      </c>
      <c r="D66" s="73">
        <v>43710</v>
      </c>
      <c r="E66" s="41">
        <v>2.8</v>
      </c>
      <c r="F66" s="42">
        <v>2.8</v>
      </c>
      <c r="G66" s="69" t="s">
        <v>165</v>
      </c>
      <c r="H66" s="6">
        <f>SUM(I66:K66)</f>
        <v>94164.710200000001</v>
      </c>
      <c r="I66" s="7">
        <v>0</v>
      </c>
      <c r="J66" s="7">
        <v>94164.710200000001</v>
      </c>
      <c r="K66" s="7"/>
      <c r="L66" s="91">
        <f>SUM(M66:P66)</f>
        <v>94164.710200000001</v>
      </c>
      <c r="M66" s="43">
        <v>0</v>
      </c>
      <c r="N66" s="44">
        <v>94164.710200000001</v>
      </c>
      <c r="O66" s="43"/>
      <c r="P66" s="59"/>
    </row>
    <row r="67" spans="1:16" s="4" customFormat="1" ht="59.45" hidden="1" customHeight="1" x14ac:dyDescent="0.25">
      <c r="A67" s="85">
        <v>5</v>
      </c>
      <c r="B67" s="5" t="s">
        <v>27</v>
      </c>
      <c r="C67" s="69" t="s">
        <v>61</v>
      </c>
      <c r="D67" s="73">
        <v>43735</v>
      </c>
      <c r="E67" s="41">
        <v>1.62</v>
      </c>
      <c r="F67" s="42">
        <v>1.62</v>
      </c>
      <c r="G67" s="69" t="s">
        <v>166</v>
      </c>
      <c r="H67" s="6">
        <v>124025.81</v>
      </c>
      <c r="I67" s="7">
        <v>0</v>
      </c>
      <c r="J67" s="7">
        <v>124025.8137</v>
      </c>
      <c r="K67" s="7"/>
      <c r="L67" s="91">
        <v>124025.81</v>
      </c>
      <c r="M67" s="43">
        <v>0</v>
      </c>
      <c r="N67" s="44">
        <v>124025.8137</v>
      </c>
      <c r="O67" s="43"/>
      <c r="P67" s="59"/>
    </row>
    <row r="68" spans="1:16" s="4" customFormat="1" ht="42.6" hidden="1" customHeight="1" x14ac:dyDescent="0.25">
      <c r="A68" s="85">
        <v>6</v>
      </c>
      <c r="B68" s="5" t="s">
        <v>28</v>
      </c>
      <c r="C68" s="69" t="s">
        <v>61</v>
      </c>
      <c r="D68" s="73">
        <v>43739</v>
      </c>
      <c r="E68" s="41">
        <v>1.18</v>
      </c>
      <c r="F68" s="42">
        <v>1.18</v>
      </c>
      <c r="G68" s="284" t="s">
        <v>166</v>
      </c>
      <c r="H68" s="6">
        <f>SUM(I68:K68)</f>
        <v>79909.325930000006</v>
      </c>
      <c r="I68" s="7">
        <v>0</v>
      </c>
      <c r="J68" s="7">
        <v>79909.325930000006</v>
      </c>
      <c r="K68" s="7"/>
      <c r="L68" s="91">
        <f>SUM(M68:P68)</f>
        <v>79909.325930000006</v>
      </c>
      <c r="M68" s="43">
        <v>0</v>
      </c>
      <c r="N68" s="44">
        <v>79909.325930000006</v>
      </c>
      <c r="O68" s="43"/>
      <c r="P68" s="59"/>
    </row>
    <row r="69" spans="1:16" s="4" customFormat="1" ht="46.9" hidden="1" customHeight="1" x14ac:dyDescent="0.25">
      <c r="A69" s="85">
        <v>7</v>
      </c>
      <c r="B69" s="5" t="s">
        <v>29</v>
      </c>
      <c r="C69" s="69" t="s">
        <v>61</v>
      </c>
      <c r="D69" s="73">
        <v>43710</v>
      </c>
      <c r="E69" s="41">
        <v>0.2</v>
      </c>
      <c r="F69" s="42">
        <v>0.2</v>
      </c>
      <c r="G69" s="284"/>
      <c r="H69" s="6">
        <f>SUM(I69:K69)</f>
        <v>55123.301390000001</v>
      </c>
      <c r="I69" s="7">
        <v>0</v>
      </c>
      <c r="J69" s="7">
        <v>55123.301390000001</v>
      </c>
      <c r="K69" s="7"/>
      <c r="L69" s="91">
        <f>SUM(M69:P69)</f>
        <v>55123.301390000001</v>
      </c>
      <c r="M69" s="43">
        <v>0</v>
      </c>
      <c r="N69" s="44">
        <v>55123.301390000001</v>
      </c>
      <c r="O69" s="43"/>
      <c r="P69" s="59"/>
    </row>
    <row r="70" spans="1:16" s="4" customFormat="1" ht="46.9" hidden="1" customHeight="1" x14ac:dyDescent="0.25">
      <c r="A70" s="85">
        <v>8</v>
      </c>
      <c r="B70" s="5" t="s">
        <v>30</v>
      </c>
      <c r="C70" s="69" t="s">
        <v>61</v>
      </c>
      <c r="D70" s="73">
        <v>43710</v>
      </c>
      <c r="E70" s="41">
        <v>0.2</v>
      </c>
      <c r="F70" s="42">
        <v>0.2</v>
      </c>
      <c r="G70" s="284"/>
      <c r="H70" s="6">
        <f>SUM(I70:K70)</f>
        <v>19200.028670000003</v>
      </c>
      <c r="I70" s="7">
        <v>0</v>
      </c>
      <c r="J70" s="7">
        <v>19200.028670000003</v>
      </c>
      <c r="K70" s="7"/>
      <c r="L70" s="91">
        <f>SUM(M70:P70)</f>
        <v>19200.028670000003</v>
      </c>
      <c r="M70" s="43">
        <v>0</v>
      </c>
      <c r="N70" s="44">
        <v>19200.028670000003</v>
      </c>
      <c r="O70" s="43"/>
      <c r="P70" s="59"/>
    </row>
    <row r="71" spans="1:16" s="4" customFormat="1" ht="46.15" hidden="1" customHeight="1" x14ac:dyDescent="0.25">
      <c r="A71" s="85">
        <v>9</v>
      </c>
      <c r="B71" s="5" t="s">
        <v>31</v>
      </c>
      <c r="C71" s="285">
        <v>43857</v>
      </c>
      <c r="D71" s="288" t="s">
        <v>79</v>
      </c>
      <c r="E71" s="281">
        <v>0</v>
      </c>
      <c r="F71" s="291">
        <v>1.08</v>
      </c>
      <c r="G71" s="284" t="s">
        <v>167</v>
      </c>
      <c r="H71" s="237" t="e">
        <f>I71+J71+#REF!</f>
        <v>#REF!</v>
      </c>
      <c r="I71" s="240">
        <v>0</v>
      </c>
      <c r="J71" s="240">
        <v>235353.14</v>
      </c>
      <c r="K71" s="78"/>
      <c r="L71" s="234" t="e">
        <f>M71+P71+#REF!</f>
        <v>#REF!</v>
      </c>
      <c r="M71" s="275">
        <v>0</v>
      </c>
      <c r="N71" s="272">
        <v>235353.14</v>
      </c>
      <c r="O71" s="70"/>
      <c r="P71" s="81"/>
    </row>
    <row r="72" spans="1:16" s="4" customFormat="1" ht="45" hidden="1" customHeight="1" x14ac:dyDescent="0.25">
      <c r="A72" s="85">
        <v>10</v>
      </c>
      <c r="B72" s="5" t="s">
        <v>32</v>
      </c>
      <c r="C72" s="285"/>
      <c r="D72" s="289"/>
      <c r="E72" s="282"/>
      <c r="F72" s="292"/>
      <c r="G72" s="284"/>
      <c r="H72" s="238"/>
      <c r="I72" s="241"/>
      <c r="J72" s="241"/>
      <c r="K72" s="79"/>
      <c r="L72" s="235"/>
      <c r="M72" s="276"/>
      <c r="N72" s="273"/>
      <c r="O72" s="71"/>
      <c r="P72" s="61"/>
    </row>
    <row r="73" spans="1:16" s="4" customFormat="1" ht="46.15" hidden="1" customHeight="1" x14ac:dyDescent="0.25">
      <c r="A73" s="85">
        <v>11</v>
      </c>
      <c r="B73" s="5" t="s">
        <v>33</v>
      </c>
      <c r="C73" s="285"/>
      <c r="D73" s="289"/>
      <c r="E73" s="282"/>
      <c r="F73" s="292"/>
      <c r="G73" s="284"/>
      <c r="H73" s="238"/>
      <c r="I73" s="241"/>
      <c r="J73" s="241"/>
      <c r="K73" s="79"/>
      <c r="L73" s="235"/>
      <c r="M73" s="276"/>
      <c r="N73" s="273"/>
      <c r="O73" s="71"/>
      <c r="P73" s="61"/>
    </row>
    <row r="74" spans="1:16" s="4" customFormat="1" ht="46.9" hidden="1" customHeight="1" x14ac:dyDescent="0.25">
      <c r="A74" s="85">
        <v>12</v>
      </c>
      <c r="B74" s="5" t="s">
        <v>34</v>
      </c>
      <c r="C74" s="285"/>
      <c r="D74" s="290"/>
      <c r="E74" s="283"/>
      <c r="F74" s="293"/>
      <c r="G74" s="284"/>
      <c r="H74" s="239"/>
      <c r="I74" s="242"/>
      <c r="J74" s="242"/>
      <c r="K74" s="80"/>
      <c r="L74" s="236"/>
      <c r="M74" s="277"/>
      <c r="N74" s="274"/>
      <c r="O74" s="72"/>
      <c r="P74" s="82"/>
    </row>
    <row r="75" spans="1:16" s="4" customFormat="1" ht="85.9" hidden="1" customHeight="1" x14ac:dyDescent="0.25">
      <c r="A75" s="85">
        <v>13</v>
      </c>
      <c r="B75" s="5" t="s">
        <v>68</v>
      </c>
      <c r="C75" s="8">
        <v>44075</v>
      </c>
      <c r="D75" s="245" t="s">
        <v>66</v>
      </c>
      <c r="E75" s="245"/>
      <c r="F75" s="245"/>
      <c r="G75" s="69" t="s">
        <v>165</v>
      </c>
      <c r="H75" s="6">
        <f t="shared" ref="H75:H104" si="7">SUM(I75:K75)</f>
        <v>23657.03</v>
      </c>
      <c r="I75" s="7">
        <v>22657.03</v>
      </c>
      <c r="J75" s="7">
        <v>1000</v>
      </c>
      <c r="K75" s="7"/>
      <c r="L75" s="91">
        <f t="shared" ref="L75:L104" si="8">SUM(M75:P75)</f>
        <v>23657.03</v>
      </c>
      <c r="M75" s="43">
        <v>22657.03</v>
      </c>
      <c r="N75" s="44">
        <v>1000</v>
      </c>
      <c r="O75" s="43"/>
      <c r="P75" s="59"/>
    </row>
    <row r="76" spans="1:16" s="4" customFormat="1" ht="79.150000000000006" hidden="1" customHeight="1" x14ac:dyDescent="0.25">
      <c r="A76" s="85">
        <v>14</v>
      </c>
      <c r="B76" s="5" t="s">
        <v>35</v>
      </c>
      <c r="C76" s="8">
        <v>44075</v>
      </c>
      <c r="D76" s="245" t="s">
        <v>66</v>
      </c>
      <c r="E76" s="245"/>
      <c r="F76" s="245"/>
      <c r="G76" s="69" t="s">
        <v>164</v>
      </c>
      <c r="H76" s="6">
        <f t="shared" si="7"/>
        <v>37828.120000000003</v>
      </c>
      <c r="I76" s="7">
        <v>36828.120000000003</v>
      </c>
      <c r="J76" s="7">
        <v>1000</v>
      </c>
      <c r="K76" s="7"/>
      <c r="L76" s="91">
        <f t="shared" si="8"/>
        <v>37828.120000000003</v>
      </c>
      <c r="M76" s="43">
        <v>36828.120000000003</v>
      </c>
      <c r="N76" s="44">
        <v>1000</v>
      </c>
      <c r="O76" s="43"/>
      <c r="P76" s="59"/>
    </row>
    <row r="77" spans="1:16" s="4" customFormat="1" ht="83.45" hidden="1" customHeight="1" x14ac:dyDescent="0.25">
      <c r="A77" s="85">
        <v>15</v>
      </c>
      <c r="B77" s="5" t="s">
        <v>36</v>
      </c>
      <c r="C77" s="8">
        <v>44075</v>
      </c>
      <c r="D77" s="245" t="s">
        <v>66</v>
      </c>
      <c r="E77" s="245"/>
      <c r="F77" s="245"/>
      <c r="G77" s="69" t="s">
        <v>167</v>
      </c>
      <c r="H77" s="6">
        <f t="shared" si="7"/>
        <v>72614.850000000006</v>
      </c>
      <c r="I77" s="7">
        <v>71614.850000000006</v>
      </c>
      <c r="J77" s="7">
        <v>1000</v>
      </c>
      <c r="K77" s="7"/>
      <c r="L77" s="91">
        <f t="shared" si="8"/>
        <v>72614.850000000006</v>
      </c>
      <c r="M77" s="43">
        <v>71614.850000000006</v>
      </c>
      <c r="N77" s="44">
        <v>1000</v>
      </c>
      <c r="O77" s="43"/>
      <c r="P77" s="59"/>
    </row>
    <row r="78" spans="1:16" s="4" customFormat="1" ht="15.6" hidden="1" customHeight="1" x14ac:dyDescent="0.25">
      <c r="A78" s="85">
        <v>16</v>
      </c>
      <c r="B78" s="5" t="s">
        <v>1</v>
      </c>
      <c r="C78" s="69" t="s">
        <v>61</v>
      </c>
      <c r="D78" s="69" t="s">
        <v>51</v>
      </c>
      <c r="E78" s="41">
        <v>0.61</v>
      </c>
      <c r="F78" s="42">
        <v>0.61</v>
      </c>
      <c r="G78" s="284" t="s">
        <v>158</v>
      </c>
      <c r="H78" s="6">
        <f t="shared" si="7"/>
        <v>0</v>
      </c>
      <c r="I78" s="7">
        <v>0</v>
      </c>
      <c r="J78" s="7">
        <v>0</v>
      </c>
      <c r="K78" s="7"/>
      <c r="L78" s="91">
        <f t="shared" si="8"/>
        <v>0</v>
      </c>
      <c r="M78" s="43">
        <v>0</v>
      </c>
      <c r="N78" s="44">
        <v>0</v>
      </c>
      <c r="O78" s="43"/>
      <c r="P78" s="59"/>
    </row>
    <row r="79" spans="1:16" s="4" customFormat="1" ht="15.6" hidden="1" customHeight="1" x14ac:dyDescent="0.25">
      <c r="A79" s="85">
        <v>17</v>
      </c>
      <c r="B79" s="5" t="s">
        <v>2</v>
      </c>
      <c r="C79" s="69" t="s">
        <v>61</v>
      </c>
      <c r="D79" s="69" t="s">
        <v>50</v>
      </c>
      <c r="E79" s="41">
        <v>0.53</v>
      </c>
      <c r="F79" s="42">
        <v>0.53</v>
      </c>
      <c r="G79" s="284"/>
      <c r="H79" s="6">
        <f t="shared" si="7"/>
        <v>0</v>
      </c>
      <c r="I79" s="7">
        <v>0</v>
      </c>
      <c r="J79" s="7">
        <v>0</v>
      </c>
      <c r="K79" s="7"/>
      <c r="L79" s="91">
        <f t="shared" si="8"/>
        <v>0</v>
      </c>
      <c r="M79" s="43">
        <v>0</v>
      </c>
      <c r="N79" s="44">
        <v>0</v>
      </c>
      <c r="O79" s="43"/>
      <c r="P79" s="59"/>
    </row>
    <row r="80" spans="1:16" s="4" customFormat="1" ht="15.6" hidden="1" customHeight="1" x14ac:dyDescent="0.25">
      <c r="A80" s="85">
        <v>18</v>
      </c>
      <c r="B80" s="5" t="s">
        <v>3</v>
      </c>
      <c r="C80" s="69" t="s">
        <v>61</v>
      </c>
      <c r="D80" s="69" t="s">
        <v>53</v>
      </c>
      <c r="E80" s="41">
        <v>1.1100000000000001</v>
      </c>
      <c r="F80" s="42">
        <v>1.1100000000000001</v>
      </c>
      <c r="G80" s="284"/>
      <c r="H80" s="6">
        <f t="shared" si="7"/>
        <v>0</v>
      </c>
      <c r="I80" s="7">
        <v>0</v>
      </c>
      <c r="J80" s="7">
        <v>0</v>
      </c>
      <c r="K80" s="7"/>
      <c r="L80" s="91">
        <f t="shared" si="8"/>
        <v>0</v>
      </c>
      <c r="M80" s="43">
        <v>0</v>
      </c>
      <c r="N80" s="44">
        <v>0</v>
      </c>
      <c r="O80" s="43"/>
      <c r="P80" s="59"/>
    </row>
    <row r="81" spans="1:16" s="4" customFormat="1" ht="15.6" hidden="1" customHeight="1" x14ac:dyDescent="0.25">
      <c r="A81" s="85">
        <v>19</v>
      </c>
      <c r="B81" s="5" t="s">
        <v>4</v>
      </c>
      <c r="C81" s="69" t="s">
        <v>61</v>
      </c>
      <c r="D81" s="69" t="s">
        <v>52</v>
      </c>
      <c r="E81" s="41">
        <v>0.23</v>
      </c>
      <c r="F81" s="42">
        <v>0.23</v>
      </c>
      <c r="G81" s="284"/>
      <c r="H81" s="6">
        <f t="shared" si="7"/>
        <v>0</v>
      </c>
      <c r="I81" s="7">
        <v>0</v>
      </c>
      <c r="J81" s="7">
        <v>0</v>
      </c>
      <c r="K81" s="7"/>
      <c r="L81" s="91">
        <f t="shared" si="8"/>
        <v>0</v>
      </c>
      <c r="M81" s="43">
        <v>0</v>
      </c>
      <c r="N81" s="44">
        <v>0</v>
      </c>
      <c r="O81" s="43"/>
      <c r="P81" s="59"/>
    </row>
    <row r="82" spans="1:16" s="4" customFormat="1" ht="15.6" hidden="1" customHeight="1" x14ac:dyDescent="0.25">
      <c r="A82" s="85">
        <v>20</v>
      </c>
      <c r="B82" s="5" t="s">
        <v>5</v>
      </c>
      <c r="C82" s="69" t="s">
        <v>61</v>
      </c>
      <c r="D82" s="69" t="s">
        <v>52</v>
      </c>
      <c r="E82" s="41">
        <v>0.35</v>
      </c>
      <c r="F82" s="42">
        <v>0.35</v>
      </c>
      <c r="G82" s="284"/>
      <c r="H82" s="6">
        <f t="shared" si="7"/>
        <v>0</v>
      </c>
      <c r="I82" s="7">
        <v>0</v>
      </c>
      <c r="J82" s="7">
        <v>0</v>
      </c>
      <c r="K82" s="7"/>
      <c r="L82" s="91">
        <f t="shared" si="8"/>
        <v>0</v>
      </c>
      <c r="M82" s="43">
        <v>0</v>
      </c>
      <c r="N82" s="44">
        <v>0</v>
      </c>
      <c r="O82" s="43"/>
      <c r="P82" s="59"/>
    </row>
    <row r="83" spans="1:16" s="4" customFormat="1" ht="15.6" hidden="1" customHeight="1" x14ac:dyDescent="0.25">
      <c r="A83" s="85">
        <v>21</v>
      </c>
      <c r="B83" s="5" t="s">
        <v>6</v>
      </c>
      <c r="C83" s="69" t="s">
        <v>61</v>
      </c>
      <c r="D83" s="69" t="s">
        <v>54</v>
      </c>
      <c r="E83" s="41">
        <v>0.31</v>
      </c>
      <c r="F83" s="42">
        <v>0.31</v>
      </c>
      <c r="G83" s="284"/>
      <c r="H83" s="6">
        <f t="shared" si="7"/>
        <v>0</v>
      </c>
      <c r="I83" s="7">
        <v>0</v>
      </c>
      <c r="J83" s="7">
        <v>0</v>
      </c>
      <c r="K83" s="7"/>
      <c r="L83" s="91">
        <f t="shared" si="8"/>
        <v>0</v>
      </c>
      <c r="M83" s="43">
        <v>0</v>
      </c>
      <c r="N83" s="44">
        <v>0</v>
      </c>
      <c r="O83" s="43"/>
      <c r="P83" s="59"/>
    </row>
    <row r="84" spans="1:16" s="4" customFormat="1" ht="15.6" hidden="1" customHeight="1" x14ac:dyDescent="0.25">
      <c r="A84" s="85">
        <v>22</v>
      </c>
      <c r="B84" s="5" t="s">
        <v>7</v>
      </c>
      <c r="C84" s="69" t="s">
        <v>61</v>
      </c>
      <c r="D84" s="69" t="s">
        <v>54</v>
      </c>
      <c r="E84" s="41">
        <v>1.34</v>
      </c>
      <c r="F84" s="42">
        <v>1.34</v>
      </c>
      <c r="G84" s="284"/>
      <c r="H84" s="6">
        <f t="shared" si="7"/>
        <v>0</v>
      </c>
      <c r="I84" s="7">
        <v>0</v>
      </c>
      <c r="J84" s="7">
        <v>0</v>
      </c>
      <c r="K84" s="7"/>
      <c r="L84" s="91">
        <f t="shared" si="8"/>
        <v>0</v>
      </c>
      <c r="M84" s="43">
        <v>0</v>
      </c>
      <c r="N84" s="44">
        <v>0</v>
      </c>
      <c r="O84" s="43"/>
      <c r="P84" s="59"/>
    </row>
    <row r="85" spans="1:16" s="4" customFormat="1" ht="15.6" hidden="1" customHeight="1" x14ac:dyDescent="0.25">
      <c r="A85" s="85">
        <v>23</v>
      </c>
      <c r="B85" s="5" t="s">
        <v>8</v>
      </c>
      <c r="C85" s="69" t="s">
        <v>61</v>
      </c>
      <c r="D85" s="69" t="s">
        <v>50</v>
      </c>
      <c r="E85" s="41">
        <v>0.16</v>
      </c>
      <c r="F85" s="42">
        <v>0.16</v>
      </c>
      <c r="G85" s="284"/>
      <c r="H85" s="6">
        <f t="shared" si="7"/>
        <v>0</v>
      </c>
      <c r="I85" s="7">
        <v>0</v>
      </c>
      <c r="J85" s="7">
        <v>0</v>
      </c>
      <c r="K85" s="7"/>
      <c r="L85" s="91">
        <f t="shared" si="8"/>
        <v>0</v>
      </c>
      <c r="M85" s="43">
        <v>0</v>
      </c>
      <c r="N85" s="44">
        <v>0</v>
      </c>
      <c r="O85" s="43"/>
      <c r="P85" s="59"/>
    </row>
    <row r="86" spans="1:16" s="4" customFormat="1" ht="15.6" hidden="1" customHeight="1" x14ac:dyDescent="0.25">
      <c r="A86" s="85">
        <v>24</v>
      </c>
      <c r="B86" s="5" t="s">
        <v>9</v>
      </c>
      <c r="C86" s="69" t="s">
        <v>61</v>
      </c>
      <c r="D86" s="69" t="s">
        <v>50</v>
      </c>
      <c r="E86" s="41">
        <v>0.2</v>
      </c>
      <c r="F86" s="42">
        <v>0.2</v>
      </c>
      <c r="G86" s="284"/>
      <c r="H86" s="6">
        <f t="shared" si="7"/>
        <v>0</v>
      </c>
      <c r="I86" s="7">
        <v>0</v>
      </c>
      <c r="J86" s="7">
        <v>0</v>
      </c>
      <c r="K86" s="7"/>
      <c r="L86" s="91">
        <f t="shared" si="8"/>
        <v>0</v>
      </c>
      <c r="M86" s="43">
        <v>0</v>
      </c>
      <c r="N86" s="44">
        <v>0</v>
      </c>
      <c r="O86" s="43"/>
      <c r="P86" s="59"/>
    </row>
    <row r="87" spans="1:16" s="4" customFormat="1" ht="15.6" hidden="1" customHeight="1" x14ac:dyDescent="0.25">
      <c r="A87" s="85">
        <v>25</v>
      </c>
      <c r="B87" s="5" t="s">
        <v>10</v>
      </c>
      <c r="C87" s="69" t="s">
        <v>61</v>
      </c>
      <c r="D87" s="69" t="s">
        <v>52</v>
      </c>
      <c r="E87" s="41">
        <v>0.45</v>
      </c>
      <c r="F87" s="42">
        <v>0.45</v>
      </c>
      <c r="G87" s="284" t="s">
        <v>166</v>
      </c>
      <c r="H87" s="6">
        <f t="shared" si="7"/>
        <v>0</v>
      </c>
      <c r="I87" s="7">
        <v>0</v>
      </c>
      <c r="J87" s="7">
        <v>0</v>
      </c>
      <c r="K87" s="7"/>
      <c r="L87" s="91">
        <f t="shared" si="8"/>
        <v>0</v>
      </c>
      <c r="M87" s="43">
        <v>0</v>
      </c>
      <c r="N87" s="44">
        <v>0</v>
      </c>
      <c r="O87" s="43"/>
      <c r="P87" s="59"/>
    </row>
    <row r="88" spans="1:16" s="4" customFormat="1" ht="15.6" hidden="1" customHeight="1" x14ac:dyDescent="0.25">
      <c r="A88" s="85">
        <v>26</v>
      </c>
      <c r="B88" s="5" t="s">
        <v>11</v>
      </c>
      <c r="C88" s="69" t="s">
        <v>61</v>
      </c>
      <c r="D88" s="69" t="s">
        <v>52</v>
      </c>
      <c r="E88" s="41">
        <v>0.2</v>
      </c>
      <c r="F88" s="42">
        <v>0.2</v>
      </c>
      <c r="G88" s="284"/>
      <c r="H88" s="6">
        <f t="shared" si="7"/>
        <v>0</v>
      </c>
      <c r="I88" s="7">
        <v>0</v>
      </c>
      <c r="J88" s="7">
        <v>0</v>
      </c>
      <c r="K88" s="7"/>
      <c r="L88" s="91">
        <f t="shared" si="8"/>
        <v>0</v>
      </c>
      <c r="M88" s="43">
        <v>0</v>
      </c>
      <c r="N88" s="44">
        <v>0</v>
      </c>
      <c r="O88" s="43"/>
      <c r="P88" s="59"/>
    </row>
    <row r="89" spans="1:16" s="4" customFormat="1" ht="15.6" hidden="1" customHeight="1" x14ac:dyDescent="0.25">
      <c r="A89" s="85">
        <v>27</v>
      </c>
      <c r="B89" s="5" t="s">
        <v>12</v>
      </c>
      <c r="C89" s="69" t="s">
        <v>61</v>
      </c>
      <c r="D89" s="69" t="s">
        <v>54</v>
      </c>
      <c r="E89" s="41">
        <v>0.2</v>
      </c>
      <c r="F89" s="42">
        <v>0.2</v>
      </c>
      <c r="G89" s="284"/>
      <c r="H89" s="6">
        <f t="shared" si="7"/>
        <v>0</v>
      </c>
      <c r="I89" s="7">
        <v>0</v>
      </c>
      <c r="J89" s="7">
        <v>0</v>
      </c>
      <c r="K89" s="7"/>
      <c r="L89" s="91">
        <f t="shared" si="8"/>
        <v>0</v>
      </c>
      <c r="M89" s="43">
        <v>0</v>
      </c>
      <c r="N89" s="44">
        <v>0</v>
      </c>
      <c r="O89" s="43"/>
      <c r="P89" s="59"/>
    </row>
    <row r="90" spans="1:16" s="4" customFormat="1" ht="15.6" hidden="1" customHeight="1" x14ac:dyDescent="0.25">
      <c r="A90" s="85">
        <v>28</v>
      </c>
      <c r="B90" s="5" t="s">
        <v>13</v>
      </c>
      <c r="C90" s="69" t="s">
        <v>61</v>
      </c>
      <c r="D90" s="69" t="s">
        <v>54</v>
      </c>
      <c r="E90" s="41">
        <v>0.88</v>
      </c>
      <c r="F90" s="42">
        <v>0.88</v>
      </c>
      <c r="G90" s="284"/>
      <c r="H90" s="6">
        <f t="shared" si="7"/>
        <v>0</v>
      </c>
      <c r="I90" s="7">
        <v>0</v>
      </c>
      <c r="J90" s="7">
        <v>0</v>
      </c>
      <c r="K90" s="7"/>
      <c r="L90" s="91">
        <f t="shared" si="8"/>
        <v>0</v>
      </c>
      <c r="M90" s="43">
        <v>0</v>
      </c>
      <c r="N90" s="44">
        <v>0</v>
      </c>
      <c r="O90" s="43"/>
      <c r="P90" s="59"/>
    </row>
    <row r="91" spans="1:16" s="4" customFormat="1" ht="15.6" hidden="1" customHeight="1" x14ac:dyDescent="0.25">
      <c r="A91" s="85">
        <v>29</v>
      </c>
      <c r="B91" s="5" t="s">
        <v>14</v>
      </c>
      <c r="C91" s="69" t="s">
        <v>61</v>
      </c>
      <c r="D91" s="69" t="s">
        <v>54</v>
      </c>
      <c r="E91" s="41">
        <v>0.39</v>
      </c>
      <c r="F91" s="42">
        <v>0.39</v>
      </c>
      <c r="G91" s="284"/>
      <c r="H91" s="6">
        <f t="shared" si="7"/>
        <v>0</v>
      </c>
      <c r="I91" s="7">
        <v>0</v>
      </c>
      <c r="J91" s="7">
        <v>0</v>
      </c>
      <c r="K91" s="7"/>
      <c r="L91" s="91">
        <f t="shared" si="8"/>
        <v>0</v>
      </c>
      <c r="M91" s="43">
        <v>0</v>
      </c>
      <c r="N91" s="44">
        <v>0</v>
      </c>
      <c r="O91" s="43"/>
      <c r="P91" s="59"/>
    </row>
    <row r="92" spans="1:16" s="4" customFormat="1" ht="15.6" hidden="1" customHeight="1" x14ac:dyDescent="0.25">
      <c r="A92" s="85">
        <v>30</v>
      </c>
      <c r="B92" s="5" t="s">
        <v>15</v>
      </c>
      <c r="C92" s="69" t="s">
        <v>61</v>
      </c>
      <c r="D92" s="69" t="s">
        <v>51</v>
      </c>
      <c r="E92" s="41">
        <v>0.79</v>
      </c>
      <c r="F92" s="42">
        <v>0.79</v>
      </c>
      <c r="G92" s="284" t="s">
        <v>166</v>
      </c>
      <c r="H92" s="6">
        <f t="shared" si="7"/>
        <v>0</v>
      </c>
      <c r="I92" s="7">
        <v>0</v>
      </c>
      <c r="J92" s="7">
        <v>0</v>
      </c>
      <c r="K92" s="7"/>
      <c r="L92" s="91">
        <f t="shared" si="8"/>
        <v>0</v>
      </c>
      <c r="M92" s="43">
        <v>0</v>
      </c>
      <c r="N92" s="44">
        <v>0</v>
      </c>
      <c r="O92" s="43"/>
      <c r="P92" s="59"/>
    </row>
    <row r="93" spans="1:16" s="4" customFormat="1" ht="15.6" hidden="1" customHeight="1" x14ac:dyDescent="0.25">
      <c r="A93" s="85">
        <v>31</v>
      </c>
      <c r="B93" s="5" t="s">
        <v>16</v>
      </c>
      <c r="C93" s="69" t="s">
        <v>61</v>
      </c>
      <c r="D93" s="69" t="s">
        <v>50</v>
      </c>
      <c r="E93" s="41">
        <v>0.82</v>
      </c>
      <c r="F93" s="42">
        <v>0.82</v>
      </c>
      <c r="G93" s="284"/>
      <c r="H93" s="6">
        <f t="shared" si="7"/>
        <v>0</v>
      </c>
      <c r="I93" s="7">
        <v>0</v>
      </c>
      <c r="J93" s="7">
        <v>0</v>
      </c>
      <c r="K93" s="7"/>
      <c r="L93" s="91">
        <f t="shared" si="8"/>
        <v>0</v>
      </c>
      <c r="M93" s="43">
        <v>0</v>
      </c>
      <c r="N93" s="44">
        <v>0</v>
      </c>
      <c r="O93" s="43"/>
      <c r="P93" s="59"/>
    </row>
    <row r="94" spans="1:16" s="4" customFormat="1" ht="15.6" hidden="1" customHeight="1" x14ac:dyDescent="0.25">
      <c r="A94" s="85">
        <v>32</v>
      </c>
      <c r="B94" s="5" t="s">
        <v>17</v>
      </c>
      <c r="C94" s="69" t="s">
        <v>61</v>
      </c>
      <c r="D94" s="69" t="s">
        <v>53</v>
      </c>
      <c r="E94" s="41">
        <v>1.03</v>
      </c>
      <c r="F94" s="42">
        <v>1.03</v>
      </c>
      <c r="G94" s="284"/>
      <c r="H94" s="6">
        <f t="shared" si="7"/>
        <v>0</v>
      </c>
      <c r="I94" s="7">
        <v>0</v>
      </c>
      <c r="J94" s="7">
        <v>0</v>
      </c>
      <c r="K94" s="7"/>
      <c r="L94" s="91">
        <f t="shared" si="8"/>
        <v>0</v>
      </c>
      <c r="M94" s="43">
        <v>0</v>
      </c>
      <c r="N94" s="44">
        <v>0</v>
      </c>
      <c r="O94" s="43"/>
      <c r="P94" s="59"/>
    </row>
    <row r="95" spans="1:16" s="4" customFormat="1" ht="15.6" hidden="1" customHeight="1" x14ac:dyDescent="0.25">
      <c r="A95" s="85">
        <v>33</v>
      </c>
      <c r="B95" s="5" t="s">
        <v>18</v>
      </c>
      <c r="C95" s="69" t="s">
        <v>61</v>
      </c>
      <c r="D95" s="69" t="s">
        <v>51</v>
      </c>
      <c r="E95" s="41">
        <v>0.47</v>
      </c>
      <c r="F95" s="42">
        <v>0.47</v>
      </c>
      <c r="G95" s="284"/>
      <c r="H95" s="6">
        <f t="shared" si="7"/>
        <v>0</v>
      </c>
      <c r="I95" s="7">
        <v>0</v>
      </c>
      <c r="J95" s="7">
        <v>0</v>
      </c>
      <c r="K95" s="7"/>
      <c r="L95" s="91">
        <f t="shared" si="8"/>
        <v>0</v>
      </c>
      <c r="M95" s="43">
        <v>0</v>
      </c>
      <c r="N95" s="44">
        <v>0</v>
      </c>
      <c r="O95" s="43"/>
      <c r="P95" s="59"/>
    </row>
    <row r="96" spans="1:16" s="4" customFormat="1" ht="15.6" hidden="1" customHeight="1" x14ac:dyDescent="0.25">
      <c r="A96" s="85">
        <v>34</v>
      </c>
      <c r="B96" s="5" t="s">
        <v>19</v>
      </c>
      <c r="C96" s="69" t="s">
        <v>61</v>
      </c>
      <c r="D96" s="69" t="s">
        <v>51</v>
      </c>
      <c r="E96" s="41">
        <v>0.54</v>
      </c>
      <c r="F96" s="42">
        <v>0.54</v>
      </c>
      <c r="G96" s="284"/>
      <c r="H96" s="6">
        <f t="shared" si="7"/>
        <v>0</v>
      </c>
      <c r="I96" s="7">
        <v>0</v>
      </c>
      <c r="J96" s="7">
        <v>0</v>
      </c>
      <c r="K96" s="7"/>
      <c r="L96" s="91">
        <f t="shared" si="8"/>
        <v>0</v>
      </c>
      <c r="M96" s="43">
        <v>0</v>
      </c>
      <c r="N96" s="44">
        <v>0</v>
      </c>
      <c r="O96" s="43"/>
      <c r="P96" s="59"/>
    </row>
    <row r="97" spans="1:16" s="4" customFormat="1" ht="15.6" hidden="1" customHeight="1" x14ac:dyDescent="0.25">
      <c r="A97" s="85">
        <v>35</v>
      </c>
      <c r="B97" s="5" t="s">
        <v>20</v>
      </c>
      <c r="C97" s="69" t="s">
        <v>61</v>
      </c>
      <c r="D97" s="69" t="s">
        <v>53</v>
      </c>
      <c r="E97" s="41">
        <v>0.35</v>
      </c>
      <c r="F97" s="42">
        <v>0.35</v>
      </c>
      <c r="G97" s="284"/>
      <c r="H97" s="6">
        <f t="shared" si="7"/>
        <v>0</v>
      </c>
      <c r="I97" s="7">
        <v>0</v>
      </c>
      <c r="J97" s="7">
        <v>0</v>
      </c>
      <c r="K97" s="7"/>
      <c r="L97" s="91">
        <f t="shared" si="8"/>
        <v>0</v>
      </c>
      <c r="M97" s="43">
        <v>0</v>
      </c>
      <c r="N97" s="44">
        <v>0</v>
      </c>
      <c r="O97" s="43"/>
      <c r="P97" s="59"/>
    </row>
    <row r="98" spans="1:16" s="4" customFormat="1" ht="15.6" hidden="1" customHeight="1" x14ac:dyDescent="0.25">
      <c r="A98" s="85">
        <v>36</v>
      </c>
      <c r="B98" s="5" t="s">
        <v>21</v>
      </c>
      <c r="C98" s="69" t="s">
        <v>61</v>
      </c>
      <c r="D98" s="69" t="s">
        <v>50</v>
      </c>
      <c r="E98" s="41">
        <v>0.47</v>
      </c>
      <c r="F98" s="42">
        <v>0.47</v>
      </c>
      <c r="G98" s="284"/>
      <c r="H98" s="6">
        <f t="shared" si="7"/>
        <v>0</v>
      </c>
      <c r="I98" s="7">
        <v>0</v>
      </c>
      <c r="J98" s="7">
        <v>0</v>
      </c>
      <c r="K98" s="7"/>
      <c r="L98" s="91">
        <f t="shared" si="8"/>
        <v>0</v>
      </c>
      <c r="M98" s="43">
        <v>0</v>
      </c>
      <c r="N98" s="44">
        <v>0</v>
      </c>
      <c r="O98" s="43"/>
      <c r="P98" s="59"/>
    </row>
    <row r="99" spans="1:16" s="4" customFormat="1" ht="26.45" hidden="1" customHeight="1" x14ac:dyDescent="0.25">
      <c r="A99" s="85">
        <v>37</v>
      </c>
      <c r="B99" s="5" t="s">
        <v>22</v>
      </c>
      <c r="C99" s="69" t="s">
        <v>61</v>
      </c>
      <c r="D99" s="69" t="s">
        <v>53</v>
      </c>
      <c r="E99" s="41">
        <v>0.4</v>
      </c>
      <c r="F99" s="42">
        <v>0.4</v>
      </c>
      <c r="G99" s="69" t="s">
        <v>164</v>
      </c>
      <c r="H99" s="6">
        <f t="shared" si="7"/>
        <v>0</v>
      </c>
      <c r="I99" s="7">
        <v>0</v>
      </c>
      <c r="J99" s="7">
        <v>0</v>
      </c>
      <c r="K99" s="7"/>
      <c r="L99" s="91">
        <f t="shared" si="8"/>
        <v>0</v>
      </c>
      <c r="M99" s="43">
        <v>0</v>
      </c>
      <c r="N99" s="44">
        <v>0</v>
      </c>
      <c r="O99" s="43"/>
      <c r="P99" s="59"/>
    </row>
    <row r="100" spans="1:16" s="4" customFormat="1" ht="93.6" hidden="1" customHeight="1" x14ac:dyDescent="0.25">
      <c r="A100" s="85">
        <v>38</v>
      </c>
      <c r="B100" s="5" t="s">
        <v>82</v>
      </c>
      <c r="C100" s="69" t="s">
        <v>83</v>
      </c>
      <c r="D100" s="69" t="s">
        <v>83</v>
      </c>
      <c r="E100" s="41" t="s">
        <v>67</v>
      </c>
      <c r="F100" s="42" t="s">
        <v>67</v>
      </c>
      <c r="G100" s="69" t="s">
        <v>168</v>
      </c>
      <c r="H100" s="6">
        <f t="shared" si="7"/>
        <v>143726.81</v>
      </c>
      <c r="I100" s="7">
        <v>143726.81</v>
      </c>
      <c r="J100" s="7">
        <v>0</v>
      </c>
      <c r="K100" s="7"/>
      <c r="L100" s="91">
        <f t="shared" si="8"/>
        <v>143726.81</v>
      </c>
      <c r="M100" s="43">
        <v>143726.81</v>
      </c>
      <c r="N100" s="44">
        <v>0</v>
      </c>
      <c r="O100" s="43"/>
      <c r="P100" s="59"/>
    </row>
    <row r="101" spans="1:16" s="4" customFormat="1" ht="46.9" hidden="1" customHeight="1" x14ac:dyDescent="0.25">
      <c r="A101" s="85">
        <v>39</v>
      </c>
      <c r="B101" s="5" t="s">
        <v>84</v>
      </c>
      <c r="C101" s="69" t="s">
        <v>85</v>
      </c>
      <c r="D101" s="245" t="s">
        <v>66</v>
      </c>
      <c r="E101" s="245"/>
      <c r="F101" s="245"/>
      <c r="G101" s="69" t="s">
        <v>169</v>
      </c>
      <c r="H101" s="6">
        <f t="shared" si="7"/>
        <v>85968.72</v>
      </c>
      <c r="I101" s="7">
        <v>85968.72</v>
      </c>
      <c r="J101" s="7">
        <v>0</v>
      </c>
      <c r="K101" s="7"/>
      <c r="L101" s="91">
        <f t="shared" si="8"/>
        <v>85968.72</v>
      </c>
      <c r="M101" s="43">
        <v>85968.72</v>
      </c>
      <c r="N101" s="44">
        <v>0</v>
      </c>
      <c r="O101" s="43"/>
      <c r="P101" s="59"/>
    </row>
    <row r="102" spans="1:16" s="4" customFormat="1" ht="78" hidden="1" customHeight="1" x14ac:dyDescent="0.25">
      <c r="A102" s="85">
        <v>40</v>
      </c>
      <c r="B102" s="5" t="s">
        <v>86</v>
      </c>
      <c r="C102" s="69" t="s">
        <v>87</v>
      </c>
      <c r="D102" s="69" t="s">
        <v>87</v>
      </c>
      <c r="E102" s="41" t="s">
        <v>67</v>
      </c>
      <c r="F102" s="42" t="s">
        <v>67</v>
      </c>
      <c r="G102" s="69" t="s">
        <v>170</v>
      </c>
      <c r="H102" s="6">
        <f t="shared" si="7"/>
        <v>70504.47</v>
      </c>
      <c r="I102" s="7">
        <v>70504.47</v>
      </c>
      <c r="J102" s="7">
        <v>0</v>
      </c>
      <c r="K102" s="7"/>
      <c r="L102" s="91">
        <f t="shared" si="8"/>
        <v>70504.47</v>
      </c>
      <c r="M102" s="43">
        <v>70504.47</v>
      </c>
      <c r="N102" s="44">
        <v>0</v>
      </c>
      <c r="O102" s="43"/>
      <c r="P102" s="59"/>
    </row>
    <row r="103" spans="1:16" s="4" customFormat="1" ht="62.45" hidden="1" customHeight="1" x14ac:dyDescent="0.25">
      <c r="A103" s="85">
        <v>41</v>
      </c>
      <c r="B103" s="5" t="s">
        <v>88</v>
      </c>
      <c r="C103" s="69" t="s">
        <v>90</v>
      </c>
      <c r="D103" s="69" t="s">
        <v>91</v>
      </c>
      <c r="E103" s="41" t="s">
        <v>67</v>
      </c>
      <c r="F103" s="42" t="s">
        <v>67</v>
      </c>
      <c r="G103" s="69" t="s">
        <v>171</v>
      </c>
      <c r="H103" s="6">
        <f t="shared" si="7"/>
        <v>145170.6</v>
      </c>
      <c r="I103" s="7">
        <v>145170.6</v>
      </c>
      <c r="J103" s="7">
        <v>0</v>
      </c>
      <c r="K103" s="7"/>
      <c r="L103" s="91">
        <f t="shared" si="8"/>
        <v>145170.6</v>
      </c>
      <c r="M103" s="43">
        <v>145170.6</v>
      </c>
      <c r="N103" s="44">
        <v>0</v>
      </c>
      <c r="O103" s="43"/>
      <c r="P103" s="59"/>
    </row>
    <row r="104" spans="1:16" s="4" customFormat="1" ht="46.9" hidden="1" customHeight="1" x14ac:dyDescent="0.25">
      <c r="A104" s="85">
        <v>42</v>
      </c>
      <c r="B104" s="5" t="s">
        <v>89</v>
      </c>
      <c r="C104" s="69" t="s">
        <v>92</v>
      </c>
      <c r="D104" s="245" t="s">
        <v>66</v>
      </c>
      <c r="E104" s="245"/>
      <c r="F104" s="245"/>
      <c r="G104" s="69" t="s">
        <v>172</v>
      </c>
      <c r="H104" s="6">
        <f t="shared" si="7"/>
        <v>54829.4</v>
      </c>
      <c r="I104" s="7">
        <v>54829.4</v>
      </c>
      <c r="J104" s="7">
        <v>0</v>
      </c>
      <c r="K104" s="7"/>
      <c r="L104" s="91">
        <f t="shared" si="8"/>
        <v>54829.4</v>
      </c>
      <c r="M104" s="43">
        <v>54829.4</v>
      </c>
      <c r="N104" s="44">
        <v>0</v>
      </c>
      <c r="O104" s="43"/>
      <c r="P104" s="59"/>
    </row>
    <row r="105" spans="1:16" s="10" customFormat="1" ht="15.6" hidden="1" customHeight="1" x14ac:dyDescent="0.25">
      <c r="A105" s="269" t="s">
        <v>80</v>
      </c>
      <c r="B105" s="270"/>
      <c r="C105" s="270"/>
      <c r="D105" s="271"/>
      <c r="E105" s="36">
        <f>SUM(E78:E99,E63:E70)</f>
        <v>29.33</v>
      </c>
      <c r="F105" s="32">
        <f>SUM(F78:F99,F63:F70,F71)</f>
        <v>30.409999999999997</v>
      </c>
      <c r="G105" s="14"/>
      <c r="H105" s="9" t="e">
        <f t="shared" ref="H105:N105" si="9">SUM(H63:H104)</f>
        <v>#REF!</v>
      </c>
      <c r="I105" s="9">
        <f t="shared" si="9"/>
        <v>631300</v>
      </c>
      <c r="J105" s="9">
        <f t="shared" si="9"/>
        <v>825068.09704000002</v>
      </c>
      <c r="K105" s="9"/>
      <c r="L105" s="45" t="e">
        <f t="shared" si="9"/>
        <v>#REF!</v>
      </c>
      <c r="M105" s="46">
        <f t="shared" si="9"/>
        <v>631300</v>
      </c>
      <c r="N105" s="45">
        <f t="shared" si="9"/>
        <v>825068.09704000002</v>
      </c>
      <c r="O105" s="46"/>
      <c r="P105" s="62"/>
    </row>
    <row r="106" spans="1:16" s="4" customFormat="1" ht="26.45" hidden="1" customHeight="1" x14ac:dyDescent="0.25">
      <c r="A106" s="230" t="s">
        <v>71</v>
      </c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</row>
    <row r="107" spans="1:16" s="4" customFormat="1" ht="15.6" hidden="1" customHeight="1" x14ac:dyDescent="0.25">
      <c r="A107" s="85">
        <v>1</v>
      </c>
      <c r="B107" s="5" t="s">
        <v>37</v>
      </c>
      <c r="C107" s="69" t="s">
        <v>55</v>
      </c>
      <c r="D107" s="69" t="s">
        <v>56</v>
      </c>
      <c r="E107" s="41">
        <v>0.44</v>
      </c>
      <c r="F107" s="42">
        <v>0.44</v>
      </c>
      <c r="G107" s="69" t="s">
        <v>173</v>
      </c>
      <c r="H107" s="6">
        <f t="shared" ref="H107:H113" si="10">SUM(I107:K107)</f>
        <v>58419.305030000003</v>
      </c>
      <c r="I107" s="7">
        <v>0</v>
      </c>
      <c r="J107" s="7">
        <v>58419.305030000003</v>
      </c>
      <c r="K107" s="7"/>
      <c r="L107" s="91">
        <f t="shared" ref="L107:L113" si="11">SUM(M107:P107)</f>
        <v>58419.305030000003</v>
      </c>
      <c r="M107" s="43">
        <v>0</v>
      </c>
      <c r="N107" s="44">
        <v>58419.305030000003</v>
      </c>
      <c r="O107" s="43"/>
      <c r="P107" s="59"/>
    </row>
    <row r="108" spans="1:16" s="4" customFormat="1" ht="15.6" hidden="1" customHeight="1" x14ac:dyDescent="0.25">
      <c r="A108" s="85">
        <v>2</v>
      </c>
      <c r="B108" s="5" t="s">
        <v>38</v>
      </c>
      <c r="C108" s="69" t="s">
        <v>55</v>
      </c>
      <c r="D108" s="69" t="s">
        <v>72</v>
      </c>
      <c r="E108" s="41">
        <v>0.61</v>
      </c>
      <c r="F108" s="42">
        <v>0.61</v>
      </c>
      <c r="G108" s="69" t="s">
        <v>174</v>
      </c>
      <c r="H108" s="6">
        <f t="shared" si="10"/>
        <v>7841.0637999999999</v>
      </c>
      <c r="I108" s="7">
        <v>0</v>
      </c>
      <c r="J108" s="7">
        <v>7841.0637999999999</v>
      </c>
      <c r="K108" s="7"/>
      <c r="L108" s="91">
        <f t="shared" si="11"/>
        <v>7841.0637999999999</v>
      </c>
      <c r="M108" s="43">
        <v>0</v>
      </c>
      <c r="N108" s="44">
        <v>7841.0637999999999</v>
      </c>
      <c r="O108" s="43"/>
      <c r="P108" s="59"/>
    </row>
    <row r="109" spans="1:16" s="4" customFormat="1" ht="15.6" hidden="1" customHeight="1" x14ac:dyDescent="0.25">
      <c r="A109" s="85">
        <v>3</v>
      </c>
      <c r="B109" s="5" t="s">
        <v>39</v>
      </c>
      <c r="C109" s="69" t="s">
        <v>55</v>
      </c>
      <c r="D109" s="69" t="s">
        <v>72</v>
      </c>
      <c r="E109" s="41">
        <v>0.22</v>
      </c>
      <c r="F109" s="42">
        <v>0.22</v>
      </c>
      <c r="G109" s="69" t="s">
        <v>174</v>
      </c>
      <c r="H109" s="6">
        <f t="shared" si="10"/>
        <v>6623.0162899999996</v>
      </c>
      <c r="I109" s="7">
        <v>0</v>
      </c>
      <c r="J109" s="7">
        <v>6623.0162899999996</v>
      </c>
      <c r="K109" s="7"/>
      <c r="L109" s="91">
        <f t="shared" si="11"/>
        <v>6623.0162899999996</v>
      </c>
      <c r="M109" s="43">
        <v>0</v>
      </c>
      <c r="N109" s="44">
        <v>6623.0162899999996</v>
      </c>
      <c r="O109" s="43"/>
      <c r="P109" s="59"/>
    </row>
    <row r="110" spans="1:16" s="4" customFormat="1" ht="15.6" hidden="1" customHeight="1" x14ac:dyDescent="0.25">
      <c r="A110" s="85">
        <v>4</v>
      </c>
      <c r="B110" s="5" t="s">
        <v>40</v>
      </c>
      <c r="C110" s="69" t="s">
        <v>55</v>
      </c>
      <c r="D110" s="69" t="s">
        <v>72</v>
      </c>
      <c r="E110" s="41">
        <v>0.39</v>
      </c>
      <c r="F110" s="42">
        <v>0.39</v>
      </c>
      <c r="G110" s="69" t="s">
        <v>174</v>
      </c>
      <c r="H110" s="6">
        <f t="shared" si="10"/>
        <v>12023.340980000001</v>
      </c>
      <c r="I110" s="7">
        <v>0</v>
      </c>
      <c r="J110" s="7">
        <v>12023.340980000001</v>
      </c>
      <c r="K110" s="7"/>
      <c r="L110" s="91">
        <f t="shared" si="11"/>
        <v>12023.340980000001</v>
      </c>
      <c r="M110" s="43">
        <v>0</v>
      </c>
      <c r="N110" s="44">
        <v>12023.340980000001</v>
      </c>
      <c r="O110" s="43"/>
      <c r="P110" s="59"/>
    </row>
    <row r="111" spans="1:16" s="4" customFormat="1" ht="15.6" hidden="1" customHeight="1" x14ac:dyDescent="0.25">
      <c r="A111" s="85">
        <v>5</v>
      </c>
      <c r="B111" s="5" t="s">
        <v>41</v>
      </c>
      <c r="C111" s="69" t="s">
        <v>55</v>
      </c>
      <c r="D111" s="69" t="s">
        <v>72</v>
      </c>
      <c r="E111" s="41">
        <v>0.2</v>
      </c>
      <c r="F111" s="42">
        <v>0.2</v>
      </c>
      <c r="G111" s="69" t="s">
        <v>174</v>
      </c>
      <c r="H111" s="6">
        <f t="shared" si="10"/>
        <v>7137.6815100000003</v>
      </c>
      <c r="I111" s="7">
        <v>0</v>
      </c>
      <c r="J111" s="7">
        <v>7137.6815100000003</v>
      </c>
      <c r="K111" s="7"/>
      <c r="L111" s="91">
        <f t="shared" si="11"/>
        <v>7137.6815100000003</v>
      </c>
      <c r="M111" s="43">
        <v>0</v>
      </c>
      <c r="N111" s="44">
        <v>7137.6815100000003</v>
      </c>
      <c r="O111" s="43"/>
      <c r="P111" s="59"/>
    </row>
    <row r="112" spans="1:16" s="4" customFormat="1" ht="15.6" hidden="1" customHeight="1" x14ac:dyDescent="0.25">
      <c r="A112" s="85">
        <v>6</v>
      </c>
      <c r="B112" s="5" t="s">
        <v>42</v>
      </c>
      <c r="C112" s="69" t="s">
        <v>55</v>
      </c>
      <c r="D112" s="69" t="s">
        <v>72</v>
      </c>
      <c r="E112" s="41">
        <v>0.13</v>
      </c>
      <c r="F112" s="42">
        <v>0.13</v>
      </c>
      <c r="G112" s="69" t="s">
        <v>174</v>
      </c>
      <c r="H112" s="6">
        <f t="shared" si="10"/>
        <v>7258.3343000000004</v>
      </c>
      <c r="I112" s="7">
        <v>0</v>
      </c>
      <c r="J112" s="7">
        <v>7258.3343000000004</v>
      </c>
      <c r="K112" s="7"/>
      <c r="L112" s="91">
        <f t="shared" si="11"/>
        <v>7258.3343000000004</v>
      </c>
      <c r="M112" s="43">
        <v>0</v>
      </c>
      <c r="N112" s="44">
        <v>7258.3343000000004</v>
      </c>
      <c r="O112" s="43"/>
      <c r="P112" s="59"/>
    </row>
    <row r="113" spans="1:16" s="4" customFormat="1" ht="15.6" hidden="1" customHeight="1" x14ac:dyDescent="0.25">
      <c r="A113" s="85">
        <v>7</v>
      </c>
      <c r="B113" s="11" t="s">
        <v>43</v>
      </c>
      <c r="C113" s="69" t="s">
        <v>62</v>
      </c>
      <c r="D113" s="69" t="s">
        <v>60</v>
      </c>
      <c r="E113" s="41">
        <v>0.36</v>
      </c>
      <c r="F113" s="42">
        <v>0.36</v>
      </c>
      <c r="G113" s="69" t="s">
        <v>173</v>
      </c>
      <c r="H113" s="6">
        <f t="shared" si="10"/>
        <v>5502.3086899999998</v>
      </c>
      <c r="I113" s="7">
        <v>0</v>
      </c>
      <c r="J113" s="7">
        <v>5502.3086899999998</v>
      </c>
      <c r="K113" s="7"/>
      <c r="L113" s="91">
        <f t="shared" si="11"/>
        <v>5502.3086899999998</v>
      </c>
      <c r="M113" s="43">
        <v>0</v>
      </c>
      <c r="N113" s="44">
        <v>5502.3086899999998</v>
      </c>
      <c r="O113" s="43"/>
      <c r="P113" s="59"/>
    </row>
    <row r="114" spans="1:16" s="10" customFormat="1" ht="15.6" hidden="1" customHeight="1" x14ac:dyDescent="0.25">
      <c r="A114" s="269" t="s">
        <v>80</v>
      </c>
      <c r="B114" s="270"/>
      <c r="C114" s="270"/>
      <c r="D114" s="271"/>
      <c r="E114" s="36">
        <f>SUM(E107:E113)</f>
        <v>2.35</v>
      </c>
      <c r="F114" s="32">
        <f>SUM(F107:F113)</f>
        <v>2.35</v>
      </c>
      <c r="G114" s="14"/>
      <c r="H114" s="9">
        <f t="shared" ref="H114:J114" si="12">SUM(H107:H113)</f>
        <v>104805.0506</v>
      </c>
      <c r="I114" s="9">
        <f t="shared" si="12"/>
        <v>0</v>
      </c>
      <c r="J114" s="9">
        <f t="shared" si="12"/>
        <v>104805.0506</v>
      </c>
      <c r="K114" s="9"/>
      <c r="L114" s="45">
        <f t="shared" ref="L114:N114" si="13">SUM(L107:L113)</f>
        <v>104805.0506</v>
      </c>
      <c r="M114" s="46">
        <f t="shared" si="13"/>
        <v>0</v>
      </c>
      <c r="N114" s="45">
        <f t="shared" si="13"/>
        <v>104805.0506</v>
      </c>
      <c r="O114" s="46"/>
      <c r="P114" s="62"/>
    </row>
    <row r="115" spans="1:16" s="4" customFormat="1" ht="33" hidden="1" customHeight="1" x14ac:dyDescent="0.25">
      <c r="A115" s="230" t="s">
        <v>73</v>
      </c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</row>
    <row r="116" spans="1:16" s="4" customFormat="1" ht="31.15" hidden="1" customHeight="1" x14ac:dyDescent="0.25">
      <c r="A116" s="85">
        <v>1</v>
      </c>
      <c r="B116" s="5" t="s">
        <v>44</v>
      </c>
      <c r="C116" s="69" t="s">
        <v>63</v>
      </c>
      <c r="D116" s="69" t="s">
        <v>59</v>
      </c>
      <c r="E116" s="41">
        <v>1.52</v>
      </c>
      <c r="F116" s="42">
        <v>1.52</v>
      </c>
      <c r="G116" s="69" t="s">
        <v>149</v>
      </c>
      <c r="H116" s="6">
        <f>SUM(I116:K116)</f>
        <v>76040</v>
      </c>
      <c r="I116" s="7">
        <v>0</v>
      </c>
      <c r="J116" s="7">
        <v>76040</v>
      </c>
      <c r="K116" s="7"/>
      <c r="L116" s="91">
        <f>SUM(M116:P116)</f>
        <v>76040</v>
      </c>
      <c r="M116" s="43">
        <v>0</v>
      </c>
      <c r="N116" s="44">
        <v>76040</v>
      </c>
      <c r="O116" s="43"/>
      <c r="P116" s="59"/>
    </row>
    <row r="117" spans="1:16" s="10" customFormat="1" ht="15.6" hidden="1" customHeight="1" x14ac:dyDescent="0.25">
      <c r="A117" s="269" t="s">
        <v>80</v>
      </c>
      <c r="B117" s="270"/>
      <c r="C117" s="270"/>
      <c r="D117" s="271"/>
      <c r="E117" s="36">
        <f>E116</f>
        <v>1.52</v>
      </c>
      <c r="F117" s="32">
        <f>F116</f>
        <v>1.52</v>
      </c>
      <c r="G117" s="14"/>
      <c r="H117" s="9">
        <f t="shared" ref="H117:J117" si="14">H116</f>
        <v>76040</v>
      </c>
      <c r="I117" s="9">
        <f t="shared" si="14"/>
        <v>0</v>
      </c>
      <c r="J117" s="9">
        <f t="shared" si="14"/>
        <v>76040</v>
      </c>
      <c r="K117" s="9"/>
      <c r="L117" s="45">
        <f t="shared" ref="L117:N117" si="15">L116</f>
        <v>76040</v>
      </c>
      <c r="M117" s="46">
        <f t="shared" si="15"/>
        <v>0</v>
      </c>
      <c r="N117" s="45">
        <f t="shared" si="15"/>
        <v>76040</v>
      </c>
      <c r="O117" s="46"/>
      <c r="P117" s="62"/>
    </row>
    <row r="118" spans="1:16" s="4" customFormat="1" ht="25.15" hidden="1" customHeight="1" x14ac:dyDescent="0.25">
      <c r="A118" s="230" t="s">
        <v>74</v>
      </c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</row>
    <row r="119" spans="1:16" s="4" customFormat="1" ht="15.6" hidden="1" customHeight="1" x14ac:dyDescent="0.25">
      <c r="A119" s="85">
        <v>1</v>
      </c>
      <c r="B119" s="5" t="s">
        <v>45</v>
      </c>
      <c r="C119" s="8">
        <v>43739</v>
      </c>
      <c r="D119" s="69" t="s">
        <v>58</v>
      </c>
      <c r="E119" s="41">
        <v>1</v>
      </c>
      <c r="F119" s="42">
        <v>1</v>
      </c>
      <c r="G119" s="278" t="s">
        <v>173</v>
      </c>
      <c r="H119" s="237" t="e">
        <f>J119+#REF!</f>
        <v>#REF!</v>
      </c>
      <c r="I119" s="237">
        <v>0</v>
      </c>
      <c r="J119" s="237">
        <v>52460</v>
      </c>
      <c r="K119" s="76"/>
      <c r="L119" s="234" t="e">
        <f>P119+#REF!</f>
        <v>#REF!</v>
      </c>
      <c r="M119" s="286">
        <v>0</v>
      </c>
      <c r="N119" s="234">
        <v>52460</v>
      </c>
      <c r="O119" s="74"/>
      <c r="P119" s="63"/>
    </row>
    <row r="120" spans="1:16" s="4" customFormat="1" ht="16.149999999999999" hidden="1" customHeight="1" x14ac:dyDescent="0.25">
      <c r="A120" s="85">
        <v>2</v>
      </c>
      <c r="B120" s="5" t="s">
        <v>46</v>
      </c>
      <c r="C120" s="73">
        <v>43739</v>
      </c>
      <c r="D120" s="69" t="s">
        <v>58</v>
      </c>
      <c r="E120" s="41">
        <v>1.2</v>
      </c>
      <c r="F120" s="42">
        <v>1.2</v>
      </c>
      <c r="G120" s="280"/>
      <c r="H120" s="239"/>
      <c r="I120" s="239"/>
      <c r="J120" s="239"/>
      <c r="K120" s="77"/>
      <c r="L120" s="236"/>
      <c r="M120" s="287"/>
      <c r="N120" s="236"/>
      <c r="O120" s="75"/>
      <c r="P120" s="64"/>
    </row>
    <row r="121" spans="1:16" s="10" customFormat="1" ht="15.6" hidden="1" customHeight="1" x14ac:dyDescent="0.25">
      <c r="A121" s="269" t="s">
        <v>80</v>
      </c>
      <c r="B121" s="270"/>
      <c r="C121" s="270"/>
      <c r="D121" s="271"/>
      <c r="E121" s="36">
        <f>SUM(E119:E120)</f>
        <v>2.2000000000000002</v>
      </c>
      <c r="F121" s="32">
        <f>SUM(F119:F120)</f>
        <v>2.2000000000000002</v>
      </c>
      <c r="G121" s="14"/>
      <c r="H121" s="9" t="e">
        <f t="shared" ref="H121:J121" si="16">SUM(H119:H120)</f>
        <v>#REF!</v>
      </c>
      <c r="I121" s="9">
        <f t="shared" si="16"/>
        <v>0</v>
      </c>
      <c r="J121" s="9">
        <f t="shared" si="16"/>
        <v>52460</v>
      </c>
      <c r="K121" s="9"/>
      <c r="L121" s="45" t="e">
        <f t="shared" ref="L121:N121" si="17">SUM(L119:L120)</f>
        <v>#REF!</v>
      </c>
      <c r="M121" s="46">
        <f t="shared" si="17"/>
        <v>0</v>
      </c>
      <c r="N121" s="45">
        <f t="shared" si="17"/>
        <v>52460</v>
      </c>
      <c r="O121" s="46"/>
      <c r="P121" s="62"/>
    </row>
    <row r="122" spans="1:16" s="4" customFormat="1" ht="25.9" hidden="1" customHeight="1" x14ac:dyDescent="0.25">
      <c r="A122" s="230" t="s">
        <v>75</v>
      </c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</row>
    <row r="123" spans="1:16" s="4" customFormat="1" ht="15.6" hidden="1" customHeight="1" x14ac:dyDescent="0.25">
      <c r="A123" s="85">
        <v>1</v>
      </c>
      <c r="B123" s="12" t="s">
        <v>47</v>
      </c>
      <c r="C123" s="8">
        <v>43739</v>
      </c>
      <c r="D123" s="69" t="s">
        <v>57</v>
      </c>
      <c r="E123" s="41">
        <v>0.44</v>
      </c>
      <c r="F123" s="42">
        <v>0.44</v>
      </c>
      <c r="G123" s="278" t="s">
        <v>149</v>
      </c>
      <c r="H123" s="237">
        <f>SUM(I123:K125)</f>
        <v>31726.735000000001</v>
      </c>
      <c r="I123" s="240">
        <v>0</v>
      </c>
      <c r="J123" s="240">
        <v>31726.735000000001</v>
      </c>
      <c r="K123" s="78"/>
      <c r="L123" s="234">
        <f>SUM(M123:P125)</f>
        <v>31726.735000000001</v>
      </c>
      <c r="M123" s="275">
        <v>0</v>
      </c>
      <c r="N123" s="272">
        <v>31726.735000000001</v>
      </c>
      <c r="O123" s="70"/>
      <c r="P123" s="81"/>
    </row>
    <row r="124" spans="1:16" s="4" customFormat="1" ht="15.6" hidden="1" customHeight="1" x14ac:dyDescent="0.25">
      <c r="A124" s="85">
        <v>2</v>
      </c>
      <c r="B124" s="12" t="s">
        <v>48</v>
      </c>
      <c r="C124" s="8">
        <v>43739</v>
      </c>
      <c r="D124" s="69" t="s">
        <v>57</v>
      </c>
      <c r="E124" s="41">
        <v>1.56</v>
      </c>
      <c r="F124" s="42">
        <v>1.56</v>
      </c>
      <c r="G124" s="279"/>
      <c r="H124" s="238"/>
      <c r="I124" s="241"/>
      <c r="J124" s="241"/>
      <c r="K124" s="79"/>
      <c r="L124" s="235"/>
      <c r="M124" s="276"/>
      <c r="N124" s="273"/>
      <c r="O124" s="71"/>
      <c r="P124" s="61"/>
    </row>
    <row r="125" spans="1:16" s="4" customFormat="1" ht="16.149999999999999" hidden="1" customHeight="1" x14ac:dyDescent="0.25">
      <c r="A125" s="85">
        <v>3</v>
      </c>
      <c r="B125" s="12" t="s">
        <v>49</v>
      </c>
      <c r="C125" s="8">
        <v>43739</v>
      </c>
      <c r="D125" s="69" t="s">
        <v>57</v>
      </c>
      <c r="E125" s="41">
        <v>0.67</v>
      </c>
      <c r="F125" s="42">
        <v>0.67</v>
      </c>
      <c r="G125" s="280"/>
      <c r="H125" s="239"/>
      <c r="I125" s="242"/>
      <c r="J125" s="242"/>
      <c r="K125" s="80"/>
      <c r="L125" s="236"/>
      <c r="M125" s="277"/>
      <c r="N125" s="274"/>
      <c r="O125" s="72"/>
      <c r="P125" s="82"/>
    </row>
    <row r="126" spans="1:16" s="10" customFormat="1" ht="15.6" hidden="1" customHeight="1" x14ac:dyDescent="0.25">
      <c r="A126" s="269" t="s">
        <v>80</v>
      </c>
      <c r="B126" s="270"/>
      <c r="C126" s="270"/>
      <c r="D126" s="271"/>
      <c r="E126" s="36">
        <f>SUM(E123:E125)</f>
        <v>2.67</v>
      </c>
      <c r="F126" s="32">
        <f>SUM(F123:F125)</f>
        <v>2.67</v>
      </c>
      <c r="G126" s="14"/>
      <c r="H126" s="9">
        <f t="shared" ref="H126:J126" si="18">SUM(H123:H125)</f>
        <v>31726.735000000001</v>
      </c>
      <c r="I126" s="9">
        <f t="shared" si="18"/>
        <v>0</v>
      </c>
      <c r="J126" s="9">
        <f t="shared" si="18"/>
        <v>31726.735000000001</v>
      </c>
      <c r="K126" s="9"/>
      <c r="L126" s="45">
        <f t="shared" ref="L126:N126" si="19">SUM(L123:L125)</f>
        <v>31726.735000000001</v>
      </c>
      <c r="M126" s="46">
        <f t="shared" si="19"/>
        <v>0</v>
      </c>
      <c r="N126" s="45">
        <f t="shared" si="19"/>
        <v>31726.735000000001</v>
      </c>
      <c r="O126" s="46"/>
      <c r="P126" s="62"/>
    </row>
    <row r="127" spans="1:16" s="10" customFormat="1" ht="56.45" hidden="1" customHeight="1" x14ac:dyDescent="0.25">
      <c r="A127" s="269" t="s">
        <v>81</v>
      </c>
      <c r="B127" s="270"/>
      <c r="C127" s="270"/>
      <c r="D127" s="271"/>
      <c r="E127" s="36">
        <f>E126+E121+E117+E114+E105+E59</f>
        <v>165.989</v>
      </c>
      <c r="F127" s="32">
        <f>F126+F121+F117+F114+F105+F59</f>
        <v>167.184</v>
      </c>
      <c r="G127" s="14"/>
      <c r="H127" s="9" t="e">
        <f t="shared" ref="H127:J127" si="20">H126+H121+H117+H114+H105+H59</f>
        <v>#REF!</v>
      </c>
      <c r="I127" s="9">
        <f t="shared" si="20"/>
        <v>2005663.5433699999</v>
      </c>
      <c r="J127" s="9">
        <f t="shared" si="20"/>
        <v>2818534.0819300003</v>
      </c>
      <c r="K127" s="9"/>
      <c r="L127" s="45" t="e">
        <f t="shared" ref="L127:N127" si="21">L126+L121+L117+L114+L105+L59</f>
        <v>#REF!</v>
      </c>
      <c r="M127" s="46">
        <f t="shared" si="21"/>
        <v>1374994869.27</v>
      </c>
      <c r="N127" s="45">
        <f t="shared" si="21"/>
        <v>1938589358.8926396</v>
      </c>
      <c r="O127" s="46"/>
      <c r="P127" s="62"/>
    </row>
    <row r="128" spans="1:16" ht="15.6" hidden="1" customHeight="1" x14ac:dyDescent="0.25">
      <c r="A128" s="47"/>
      <c r="B128" s="4"/>
      <c r="C128" s="47"/>
      <c r="D128" s="47"/>
      <c r="E128" s="48"/>
      <c r="F128" s="49"/>
      <c r="G128" s="4"/>
      <c r="H128" s="50"/>
      <c r="I128" s="50"/>
      <c r="J128" s="50"/>
      <c r="K128" s="50"/>
      <c r="L128" s="51"/>
      <c r="M128" s="52"/>
      <c r="N128" s="51"/>
      <c r="O128" s="52"/>
      <c r="P128" s="65"/>
    </row>
    <row r="129" spans="1:16" ht="15.6" hidden="1" customHeight="1" x14ac:dyDescent="0.25">
      <c r="A129" s="47"/>
      <c r="B129" s="4"/>
      <c r="C129" s="47"/>
      <c r="D129" s="47"/>
      <c r="E129" s="48"/>
      <c r="F129" s="49"/>
      <c r="G129" s="4"/>
      <c r="H129" s="50"/>
      <c r="I129" s="50"/>
      <c r="J129" s="50"/>
      <c r="K129" s="50"/>
      <c r="L129" s="51"/>
      <c r="M129" s="52"/>
      <c r="N129" s="51"/>
      <c r="O129" s="52"/>
      <c r="P129" s="65"/>
    </row>
    <row r="130" spans="1:16" ht="33.75" customHeight="1" x14ac:dyDescent="0.25">
      <c r="A130" s="47"/>
      <c r="B130" s="4"/>
      <c r="C130" s="47"/>
      <c r="D130" s="310" t="s">
        <v>429</v>
      </c>
      <c r="E130" s="53">
        <f>E59+E61</f>
        <v>140.405</v>
      </c>
      <c r="F130" s="54">
        <f>F59+F61</f>
        <v>140.51999999999998</v>
      </c>
      <c r="G130" s="4"/>
      <c r="H130" s="50"/>
      <c r="I130" s="50"/>
      <c r="J130" s="50"/>
      <c r="K130" s="50"/>
      <c r="L130" s="51"/>
      <c r="M130" s="52"/>
      <c r="N130" s="51"/>
      <c r="O130" s="52"/>
      <c r="P130" s="65"/>
    </row>
    <row r="134" spans="1:16" x14ac:dyDescent="0.25">
      <c r="M134" s="2"/>
    </row>
    <row r="136" spans="1:16" x14ac:dyDescent="0.25">
      <c r="M136" s="2"/>
      <c r="N136" s="2"/>
    </row>
    <row r="137" spans="1:16" x14ac:dyDescent="0.25">
      <c r="F137" s="13"/>
    </row>
  </sheetData>
  <customSheetViews>
    <customSheetView guid="{5C84215F-13D7-4ECA-9E25-0D2F108580A7}" scale="80" showPageBreaks="1" zeroValues="0" fitToPage="1" printArea="1" hiddenRows="1" hiddenColumns="1" view="pageBreakPreview">
      <pane xSplit="2" ySplit="4" topLeftCell="I47" activePane="bottomRight" state="frozen"/>
      <selection pane="bottomRight" activeCell="L57" sqref="L57"/>
      <pageMargins left="0.11811023622047245" right="0.11811023622047245" top="0.55118110236220474" bottom="0" header="0.11811023622047245" footer="0"/>
      <pageSetup paperSize="8" scale="60" fitToHeight="0" orientation="landscape" r:id="rId1"/>
    </customSheetView>
    <customSheetView guid="{B9B795A5-02BC-4805-9EC8-B7FD816197AF}" scale="80" showPageBreaks="1" zeroValues="0" fitToPage="1" printArea="1" hiddenRows="1" hiddenColumns="1" view="pageBreakPreview">
      <pane xSplit="2" ySplit="4" topLeftCell="I11" activePane="bottomRight" state="frozen"/>
      <selection pane="bottomRight" activeCell="W21" sqref="W21"/>
      <pageMargins left="0.11811023622047245" right="0.11811023622047245" top="0.55118110236220474" bottom="0" header="0.11811023622047245" footer="0"/>
      <pageSetup paperSize="8" scale="60" fitToHeight="0" orientation="landscape" r:id="rId2"/>
    </customSheetView>
  </customSheetViews>
  <mergeCells count="106">
    <mergeCell ref="A44:A46"/>
    <mergeCell ref="B44:B46"/>
    <mergeCell ref="H44:H46"/>
    <mergeCell ref="I44:I46"/>
    <mergeCell ref="J44:J46"/>
    <mergeCell ref="K44:K46"/>
    <mergeCell ref="D44:D46"/>
    <mergeCell ref="E44:E46"/>
    <mergeCell ref="F44:F46"/>
    <mergeCell ref="C44:C46"/>
    <mergeCell ref="J42:J43"/>
    <mergeCell ref="K42:K43"/>
    <mergeCell ref="G78:G86"/>
    <mergeCell ref="H61:K61"/>
    <mergeCell ref="H54:H55"/>
    <mergeCell ref="I54:I55"/>
    <mergeCell ref="K54:K55"/>
    <mergeCell ref="G63:G64"/>
    <mergeCell ref="G68:G70"/>
    <mergeCell ref="H42:H43"/>
    <mergeCell ref="I42:I43"/>
    <mergeCell ref="E71:E74"/>
    <mergeCell ref="A117:D117"/>
    <mergeCell ref="G87:G91"/>
    <mergeCell ref="G92:G98"/>
    <mergeCell ref="D75:F75"/>
    <mergeCell ref="A121:D121"/>
    <mergeCell ref="D77:F77"/>
    <mergeCell ref="A115:P115"/>
    <mergeCell ref="A118:P118"/>
    <mergeCell ref="M71:M74"/>
    <mergeCell ref="C71:C74"/>
    <mergeCell ref="L119:L120"/>
    <mergeCell ref="M119:M120"/>
    <mergeCell ref="N71:N74"/>
    <mergeCell ref="G71:G74"/>
    <mergeCell ref="D76:F76"/>
    <mergeCell ref="H119:H120"/>
    <mergeCell ref="J119:J120"/>
    <mergeCell ref="G119:G120"/>
    <mergeCell ref="D71:D74"/>
    <mergeCell ref="F71:F74"/>
    <mergeCell ref="A126:D126"/>
    <mergeCell ref="A127:D127"/>
    <mergeCell ref="A105:D105"/>
    <mergeCell ref="D101:F101"/>
    <mergeCell ref="D104:F104"/>
    <mergeCell ref="A122:P122"/>
    <mergeCell ref="A106:P106"/>
    <mergeCell ref="A114:D114"/>
    <mergeCell ref="N119:N120"/>
    <mergeCell ref="N123:N125"/>
    <mergeCell ref="M123:M125"/>
    <mergeCell ref="L123:L125"/>
    <mergeCell ref="H123:H125"/>
    <mergeCell ref="I123:I125"/>
    <mergeCell ref="J123:J125"/>
    <mergeCell ref="I119:I120"/>
    <mergeCell ref="G123:G125"/>
    <mergeCell ref="K21:K22"/>
    <mergeCell ref="A21:A22"/>
    <mergeCell ref="A29:A30"/>
    <mergeCell ref="B29:B30"/>
    <mergeCell ref="B27:B28"/>
    <mergeCell ref="B32:B33"/>
    <mergeCell ref="B2:B3"/>
    <mergeCell ref="L2:P2"/>
    <mergeCell ref="D2:D3"/>
    <mergeCell ref="E2:E3"/>
    <mergeCell ref="F2:F3"/>
    <mergeCell ref="H2:K2"/>
    <mergeCell ref="G2:G3"/>
    <mergeCell ref="J32:J33"/>
    <mergeCell ref="K27:K28"/>
    <mergeCell ref="L21:L22"/>
    <mergeCell ref="M21:M22"/>
    <mergeCell ref="N21:N22"/>
    <mergeCell ref="O21:O22"/>
    <mergeCell ref="P21:P22"/>
    <mergeCell ref="I27:I28"/>
    <mergeCell ref="H32:H33"/>
    <mergeCell ref="I32:I33"/>
    <mergeCell ref="A1:P1"/>
    <mergeCell ref="A2:A3"/>
    <mergeCell ref="A62:P62"/>
    <mergeCell ref="A4:P4"/>
    <mergeCell ref="L71:L74"/>
    <mergeCell ref="C2:C3"/>
    <mergeCell ref="H71:H74"/>
    <mergeCell ref="I71:I74"/>
    <mergeCell ref="J71:J74"/>
    <mergeCell ref="K32:K33"/>
    <mergeCell ref="J27:J28"/>
    <mergeCell ref="H27:H28"/>
    <mergeCell ref="H13:H14"/>
    <mergeCell ref="J13:J14"/>
    <mergeCell ref="K13:K14"/>
    <mergeCell ref="A59:B59"/>
    <mergeCell ref="A13:A14"/>
    <mergeCell ref="A27:A28"/>
    <mergeCell ref="A32:A33"/>
    <mergeCell ref="E13:E14"/>
    <mergeCell ref="I13:I14"/>
    <mergeCell ref="H21:H22"/>
    <mergeCell ref="I21:I22"/>
    <mergeCell ref="J21:J22"/>
  </mergeCells>
  <conditionalFormatting sqref="H56:H57 H61 H23:H26 H21 H47:H48 H44">
    <cfRule type="cellIs" dxfId="12" priority="28" stopIfTrue="1" operator="equal">
      <formula>0</formula>
    </cfRule>
  </conditionalFormatting>
  <conditionalFormatting sqref="H5:H13 H15:H20">
    <cfRule type="cellIs" dxfId="11" priority="19" stopIfTrue="1" operator="equal">
      <formula>0</formula>
    </cfRule>
  </conditionalFormatting>
  <conditionalFormatting sqref="H30:H32 H27 H34:H42">
    <cfRule type="cellIs" dxfId="10" priority="20" stopIfTrue="1" operator="equal">
      <formula>0</formula>
    </cfRule>
  </conditionalFormatting>
  <conditionalFormatting sqref="G51">
    <cfRule type="cellIs" dxfId="9" priority="18" stopIfTrue="1" operator="equal">
      <formula>0</formula>
    </cfRule>
  </conditionalFormatting>
  <conditionalFormatting sqref="G53">
    <cfRule type="cellIs" dxfId="8" priority="17" stopIfTrue="1" operator="equal">
      <formula>0</formula>
    </cfRule>
  </conditionalFormatting>
  <conditionalFormatting sqref="J5">
    <cfRule type="cellIs" dxfId="7" priority="15" stopIfTrue="1" operator="equal">
      <formula>0</formula>
    </cfRule>
  </conditionalFormatting>
  <conditionalFormatting sqref="K5">
    <cfRule type="cellIs" dxfId="6" priority="14" stopIfTrue="1" operator="equal">
      <formula>0</formula>
    </cfRule>
  </conditionalFormatting>
  <conditionalFormatting sqref="H49:H53">
    <cfRule type="cellIs" dxfId="5" priority="13" stopIfTrue="1" operator="equal">
      <formula>0</formula>
    </cfRule>
  </conditionalFormatting>
  <conditionalFormatting sqref="G54">
    <cfRule type="cellIs" dxfId="4" priority="10" stopIfTrue="1" operator="equal">
      <formula>0</formula>
    </cfRule>
  </conditionalFormatting>
  <conditionalFormatting sqref="G55">
    <cfRule type="cellIs" dxfId="3" priority="9" stopIfTrue="1" operator="equal">
      <formula>0</formula>
    </cfRule>
  </conditionalFormatting>
  <conditionalFormatting sqref="G56:G57">
    <cfRule type="cellIs" dxfId="2" priority="8" stopIfTrue="1" operator="equal">
      <formula>0</formula>
    </cfRule>
  </conditionalFormatting>
  <conditionalFormatting sqref="H58">
    <cfRule type="cellIs" dxfId="1" priority="7" stopIfTrue="1" operator="equal">
      <formula>0</formula>
    </cfRule>
  </conditionalFormatting>
  <conditionalFormatting sqref="G58">
    <cfRule type="cellIs" dxfId="0" priority="6" stopIfTrue="1" operator="equal">
      <formula>0</formula>
    </cfRule>
  </conditionalFormatting>
  <pageMargins left="0.11811023622047245" right="0.11811023622047245" top="0.55118110236220474" bottom="0" header="0.11811023622047245" footer="0"/>
  <pageSetup paperSize="8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 г</vt:lpstr>
      <vt:lpstr>2020 г</vt:lpstr>
      <vt:lpstr>'2020 г'!Заголовки_для_печати</vt:lpstr>
      <vt:lpstr>'2020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Udartsev</dc:creator>
  <cp:lastModifiedBy>Громенко Елена Николаевна</cp:lastModifiedBy>
  <cp:lastPrinted>2021-07-26T05:47:49Z</cp:lastPrinted>
  <dcterms:created xsi:type="dcterms:W3CDTF">2019-11-01T05:06:22Z</dcterms:created>
  <dcterms:modified xsi:type="dcterms:W3CDTF">2024-04-16T01:59:18Z</dcterms:modified>
</cp:coreProperties>
</file>